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ceraqassociation-my.sharepoint.com/personal/accueil_ceraq_fr/Documents/Documents/RESYF/"/>
    </mc:Choice>
  </mc:AlternateContent>
  <xr:revisionPtr revIDLastSave="0" documentId="8_{4074EA5B-989C-4F83-8A21-CE1CE1B34E30}" xr6:coauthVersionLast="47" xr6:coauthVersionMax="47" xr10:uidLastSave="{00000000-0000-0000-0000-000000000000}"/>
  <bookViews>
    <workbookView xWindow="270" yWindow="150" windowWidth="24795" windowHeight="14415" xr2:uid="{9A04406C-BE76-4F67-BEF8-93A8A364BD05}"/>
  </bookViews>
  <sheets>
    <sheet name="FEUILLE SAISIE" sheetId="1" r:id="rId1"/>
    <sheet name="SAISIE et CALCUL COUT ALIM" sheetId="9" r:id="rId2"/>
    <sheet name="Indicateurs Bilan Fourrager" sheetId="3" r:id="rId3"/>
    <sheet name="Référentiel Fourrager" sheetId="8" r:id="rId4"/>
    <sheet name="Indicateurs Bilan MAT" sheetId="5" r:id="rId5"/>
    <sheet name="Indicateurs Bilan des minéraux" sheetId="6" r:id="rId6"/>
    <sheet name="Indicateurs concentrés et UFL" sheetId="7" r:id="rId7"/>
    <sheet name="listes" sheetId="2" r:id="rId8"/>
  </sheets>
  <definedNames>
    <definedName name="aliments">listes!$I$5:$I$64</definedName>
    <definedName name="culture_vente">listes!$I$140:$I$161</definedName>
    <definedName name="engrais_mineraux">listes!$I$67:$I$83</definedName>
    <definedName name="engrais_organique">listes!$I$86:$I$137</definedName>
    <definedName name="prec_boeuf_lait">listes!$A$15:$A$16</definedName>
    <definedName name="prec_velage_gl">listes!$A$11:$A$12</definedName>
    <definedName name="prod_lait_vl">listes!$A$4:$A$8</definedName>
    <definedName name="referenciel_aliments">listes!$D$5:$D$149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9" i="1" l="1"/>
  <c r="E126" i="1"/>
  <c r="E127" i="1"/>
  <c r="E128" i="1"/>
  <c r="E125" i="1"/>
  <c r="E124" i="1"/>
  <c r="D149" i="1"/>
  <c r="C132" i="1" l="1"/>
  <c r="E158" i="1"/>
  <c r="D103" i="9"/>
  <c r="E168" i="1"/>
  <c r="E115" i="1"/>
  <c r="E114" i="1"/>
  <c r="E113" i="1"/>
  <c r="E112" i="1"/>
  <c r="E111" i="1"/>
  <c r="E110" i="1"/>
  <c r="E109" i="1"/>
  <c r="E108" i="1"/>
  <c r="E107" i="1"/>
  <c r="E106" i="1"/>
  <c r="E105" i="1"/>
  <c r="E104" i="1"/>
  <c r="E103" i="1"/>
  <c r="E102" i="1"/>
  <c r="E101" i="1"/>
  <c r="E100" i="1"/>
  <c r="C72" i="1"/>
  <c r="C77" i="1" s="1"/>
  <c r="C83" i="1" s="1"/>
  <c r="E61" i="6"/>
  <c r="F99" i="9"/>
  <c r="F98" i="9"/>
  <c r="F93" i="9"/>
  <c r="F92" i="9"/>
  <c r="F87" i="9"/>
  <c r="F86" i="9"/>
  <c r="F88" i="9" s="1"/>
  <c r="F73" i="9"/>
  <c r="F72" i="9"/>
  <c r="F71" i="9"/>
  <c r="F70" i="9"/>
  <c r="F65" i="9"/>
  <c r="F64" i="9"/>
  <c r="F63" i="9"/>
  <c r="F62" i="9"/>
  <c r="F57" i="9"/>
  <c r="F56" i="9"/>
  <c r="F55" i="9"/>
  <c r="F54" i="9"/>
  <c r="F41" i="9"/>
  <c r="F40" i="9"/>
  <c r="F39" i="9"/>
  <c r="F38" i="9"/>
  <c r="F34" i="9"/>
  <c r="F33" i="9"/>
  <c r="F32" i="9"/>
  <c r="F31" i="9"/>
  <c r="F27" i="9"/>
  <c r="F26" i="9"/>
  <c r="F25" i="9"/>
  <c r="F24" i="9"/>
  <c r="D105" i="9"/>
  <c r="D104" i="9"/>
  <c r="D106" i="9"/>
  <c r="F81" i="9"/>
  <c r="F80" i="9"/>
  <c r="F50" i="9"/>
  <c r="C117" i="1" l="1"/>
  <c r="F42" i="9"/>
  <c r="F35" i="9"/>
  <c r="F28" i="9"/>
  <c r="F94" i="9"/>
  <c r="F100" i="9"/>
  <c r="F74" i="9"/>
  <c r="F58" i="9"/>
  <c r="F66" i="9"/>
  <c r="F82" i="9"/>
  <c r="B133" i="9" l="1"/>
  <c r="B128" i="9"/>
  <c r="B117" i="9"/>
  <c r="F49" i="9"/>
  <c r="F20" i="9"/>
  <c r="F19" i="9"/>
  <c r="F18" i="9"/>
  <c r="F17" i="9"/>
  <c r="F48" i="9"/>
  <c r="F47" i="9"/>
  <c r="B10" i="9"/>
  <c r="B9" i="9"/>
  <c r="B8" i="9"/>
  <c r="B7" i="9"/>
  <c r="C25" i="7"/>
  <c r="C21" i="7"/>
  <c r="C24" i="7"/>
  <c r="C20" i="7"/>
  <c r="C87" i="5"/>
  <c r="C63" i="5"/>
  <c r="D63" i="5"/>
  <c r="F63" i="5"/>
  <c r="C61" i="5"/>
  <c r="D61" i="5"/>
  <c r="F61" i="5"/>
  <c r="C62" i="5"/>
  <c r="D62" i="5"/>
  <c r="F62" i="5"/>
  <c r="F60" i="5"/>
  <c r="D60" i="5"/>
  <c r="C60" i="5"/>
  <c r="C54" i="5"/>
  <c r="D54" i="5"/>
  <c r="F54" i="5"/>
  <c r="C55" i="5"/>
  <c r="D55" i="5"/>
  <c r="F55" i="5"/>
  <c r="C56" i="5"/>
  <c r="G56" i="5" s="1"/>
  <c r="D56" i="5"/>
  <c r="F56" i="5"/>
  <c r="C57" i="5"/>
  <c r="D57" i="5"/>
  <c r="F57" i="5"/>
  <c r="C58" i="5"/>
  <c r="D58" i="5"/>
  <c r="F58" i="5"/>
  <c r="F53" i="5"/>
  <c r="D53" i="5"/>
  <c r="C53" i="5"/>
  <c r="F51" i="5"/>
  <c r="D51" i="5"/>
  <c r="C51" i="5"/>
  <c r="F50" i="5"/>
  <c r="D50" i="5"/>
  <c r="C50" i="5"/>
  <c r="F49" i="5"/>
  <c r="D49" i="5"/>
  <c r="C49" i="5"/>
  <c r="F47" i="5"/>
  <c r="D47" i="5"/>
  <c r="C47" i="5"/>
  <c r="F46" i="5"/>
  <c r="D46" i="5"/>
  <c r="C46" i="5"/>
  <c r="E46" i="5" s="1"/>
  <c r="F45" i="5"/>
  <c r="D45" i="5"/>
  <c r="C45" i="5"/>
  <c r="F44" i="5"/>
  <c r="D44" i="5"/>
  <c r="C44" i="5"/>
  <c r="F43" i="5"/>
  <c r="D43" i="5"/>
  <c r="C43" i="5"/>
  <c r="F42" i="5"/>
  <c r="D42" i="5"/>
  <c r="C42" i="5"/>
  <c r="F41" i="5"/>
  <c r="D41" i="5"/>
  <c r="C41" i="5"/>
  <c r="F40" i="5"/>
  <c r="D40" i="5"/>
  <c r="C40" i="5"/>
  <c r="G40" i="5" s="1"/>
  <c r="F39" i="5"/>
  <c r="D39" i="5"/>
  <c r="C39" i="5"/>
  <c r="F38" i="5"/>
  <c r="D38" i="5"/>
  <c r="C38" i="5"/>
  <c r="C28" i="5"/>
  <c r="D28" i="5"/>
  <c r="F28" i="5"/>
  <c r="C29" i="5"/>
  <c r="G29" i="5" s="1"/>
  <c r="D29" i="5"/>
  <c r="F29" i="5"/>
  <c r="C30" i="5"/>
  <c r="D30" i="5"/>
  <c r="F30" i="5"/>
  <c r="C31" i="5"/>
  <c r="D31" i="5"/>
  <c r="F31" i="5"/>
  <c r="C32" i="5"/>
  <c r="D32" i="5"/>
  <c r="F32" i="5"/>
  <c r="C33" i="5"/>
  <c r="D33" i="5"/>
  <c r="F33" i="5"/>
  <c r="C34" i="5"/>
  <c r="D34" i="5"/>
  <c r="F34" i="5"/>
  <c r="C35" i="5"/>
  <c r="D35" i="5"/>
  <c r="F35" i="5"/>
  <c r="C36" i="5"/>
  <c r="D36" i="5"/>
  <c r="F36" i="5"/>
  <c r="F27" i="5"/>
  <c r="D27" i="5"/>
  <c r="C27" i="5"/>
  <c r="C24" i="5"/>
  <c r="D24" i="5"/>
  <c r="F24" i="5"/>
  <c r="C25" i="5"/>
  <c r="D25" i="5"/>
  <c r="F25" i="5"/>
  <c r="C54" i="3"/>
  <c r="D54" i="3"/>
  <c r="F54" i="3"/>
  <c r="G54" i="3"/>
  <c r="C55" i="3"/>
  <c r="D55" i="3"/>
  <c r="F55" i="3"/>
  <c r="G55" i="3"/>
  <c r="C56" i="3"/>
  <c r="H56" i="3" s="1"/>
  <c r="D56" i="3"/>
  <c r="F56" i="3"/>
  <c r="G56" i="3"/>
  <c r="C57" i="3"/>
  <c r="D57" i="3"/>
  <c r="F57" i="3"/>
  <c r="G57" i="3"/>
  <c r="C58" i="3"/>
  <c r="D58" i="3"/>
  <c r="F58" i="3"/>
  <c r="G58" i="3"/>
  <c r="B10" i="5"/>
  <c r="B9" i="5"/>
  <c r="B8" i="5"/>
  <c r="B7" i="5"/>
  <c r="C61" i="3"/>
  <c r="D61" i="3"/>
  <c r="F61" i="3"/>
  <c r="G61" i="3"/>
  <c r="C62" i="3"/>
  <c r="D62" i="3"/>
  <c r="F62" i="3"/>
  <c r="G62" i="3"/>
  <c r="C63" i="3"/>
  <c r="H63" i="3" s="1"/>
  <c r="D63" i="3"/>
  <c r="F63" i="3"/>
  <c r="G63" i="3"/>
  <c r="C42" i="3"/>
  <c r="D42" i="3"/>
  <c r="F42" i="3"/>
  <c r="G42" i="3"/>
  <c r="C43" i="3"/>
  <c r="D43" i="3"/>
  <c r="F43" i="3"/>
  <c r="G43" i="3"/>
  <c r="C44" i="3"/>
  <c r="H44" i="3" s="1"/>
  <c r="D44" i="3"/>
  <c r="F44" i="3"/>
  <c r="G44" i="3"/>
  <c r="C45" i="3"/>
  <c r="D45" i="3"/>
  <c r="F45" i="3"/>
  <c r="G45" i="3"/>
  <c r="C46" i="3"/>
  <c r="D46" i="3"/>
  <c r="F46" i="3"/>
  <c r="G46" i="3"/>
  <c r="F31" i="3"/>
  <c r="G31" i="3"/>
  <c r="F32" i="3"/>
  <c r="G32" i="3"/>
  <c r="F33" i="3"/>
  <c r="G33" i="3"/>
  <c r="F34" i="3"/>
  <c r="G34" i="3"/>
  <c r="F35" i="3"/>
  <c r="G35" i="3"/>
  <c r="D31" i="3"/>
  <c r="D32" i="3"/>
  <c r="D33" i="3"/>
  <c r="D34" i="3"/>
  <c r="D35" i="3"/>
  <c r="C31" i="3"/>
  <c r="C32" i="3"/>
  <c r="H32" i="3" s="1"/>
  <c r="C33" i="3"/>
  <c r="H33" i="3" s="1"/>
  <c r="C34" i="3"/>
  <c r="C35" i="3"/>
  <c r="B22" i="3"/>
  <c r="F22" i="3" s="1"/>
  <c r="B19" i="3"/>
  <c r="D19" i="3" s="1"/>
  <c r="H93" i="3"/>
  <c r="D153" i="3" s="1"/>
  <c r="H92" i="3"/>
  <c r="C158" i="3" s="1"/>
  <c r="H91" i="3"/>
  <c r="B158" i="3" s="1"/>
  <c r="C92" i="3"/>
  <c r="G53" i="3"/>
  <c r="F53" i="3"/>
  <c r="D53" i="3"/>
  <c r="C53" i="3"/>
  <c r="G60" i="3"/>
  <c r="F60" i="3"/>
  <c r="D60" i="3"/>
  <c r="C60" i="3"/>
  <c r="H60" i="3" s="1"/>
  <c r="G51" i="3"/>
  <c r="F51" i="3"/>
  <c r="D51" i="3"/>
  <c r="C51" i="3"/>
  <c r="G50" i="3"/>
  <c r="F50" i="3"/>
  <c r="D50" i="3"/>
  <c r="C50" i="3"/>
  <c r="G49" i="3"/>
  <c r="F49" i="3"/>
  <c r="D49" i="3"/>
  <c r="C49" i="3"/>
  <c r="H49" i="3" s="1"/>
  <c r="G47" i="3"/>
  <c r="F47" i="3"/>
  <c r="D47" i="3"/>
  <c r="C47" i="3"/>
  <c r="G41" i="3"/>
  <c r="F41" i="3"/>
  <c r="D41" i="3"/>
  <c r="C41" i="3"/>
  <c r="G40" i="3"/>
  <c r="F40" i="3"/>
  <c r="D40" i="3"/>
  <c r="C40" i="3"/>
  <c r="H40" i="3" s="1"/>
  <c r="G39" i="3"/>
  <c r="F39" i="3"/>
  <c r="D39" i="3"/>
  <c r="C39" i="3"/>
  <c r="G38" i="3"/>
  <c r="F38" i="3"/>
  <c r="D38" i="3"/>
  <c r="C38" i="3"/>
  <c r="C28" i="3"/>
  <c r="D28" i="3"/>
  <c r="F28" i="3"/>
  <c r="G28" i="3"/>
  <c r="C29" i="3"/>
  <c r="H29" i="3" s="1"/>
  <c r="D29" i="3"/>
  <c r="F29" i="3"/>
  <c r="G29" i="3"/>
  <c r="C30" i="3"/>
  <c r="H30" i="3" s="1"/>
  <c r="D30" i="3"/>
  <c r="F30" i="3"/>
  <c r="G30" i="3"/>
  <c r="C36" i="3"/>
  <c r="D36" i="3"/>
  <c r="F36" i="3"/>
  <c r="G36" i="3"/>
  <c r="G27" i="3"/>
  <c r="F27" i="3"/>
  <c r="D27" i="3"/>
  <c r="C27" i="3"/>
  <c r="C17" i="3"/>
  <c r="D17" i="3"/>
  <c r="F17" i="3"/>
  <c r="G17" i="3"/>
  <c r="C18" i="3"/>
  <c r="D18" i="3"/>
  <c r="F18" i="3"/>
  <c r="G18" i="3"/>
  <c r="H18" i="3" s="1"/>
  <c r="C19" i="3"/>
  <c r="G19" i="3"/>
  <c r="C20" i="3"/>
  <c r="D20" i="3"/>
  <c r="F20" i="3"/>
  <c r="G20" i="3"/>
  <c r="C21" i="3"/>
  <c r="D21" i="3"/>
  <c r="F21" i="3"/>
  <c r="G21" i="3"/>
  <c r="C22" i="3"/>
  <c r="G22" i="3"/>
  <c r="C23" i="3"/>
  <c r="H23" i="3" s="1"/>
  <c r="D23" i="3"/>
  <c r="F23" i="3"/>
  <c r="G23" i="3"/>
  <c r="C24" i="3"/>
  <c r="H24" i="3" s="1"/>
  <c r="D24" i="3"/>
  <c r="F24" i="3"/>
  <c r="G24" i="3"/>
  <c r="C25" i="3"/>
  <c r="D25" i="3"/>
  <c r="F25" i="3"/>
  <c r="G25" i="3"/>
  <c r="B16" i="3"/>
  <c r="D16" i="3" s="1"/>
  <c r="C16" i="3"/>
  <c r="G16" i="3"/>
  <c r="E159" i="1"/>
  <c r="E160" i="1"/>
  <c r="E161" i="1"/>
  <c r="E162" i="1"/>
  <c r="E163" i="1"/>
  <c r="E164" i="1"/>
  <c r="F164" i="1" s="1"/>
  <c r="E165" i="1"/>
  <c r="E166" i="1"/>
  <c r="E157" i="1"/>
  <c r="H17" i="3" l="1"/>
  <c r="H35" i="3"/>
  <c r="H25" i="3"/>
  <c r="H28" i="3"/>
  <c r="H38" i="3"/>
  <c r="H22" i="3"/>
  <c r="H43" i="3"/>
  <c r="H58" i="3"/>
  <c r="H36" i="3"/>
  <c r="H34" i="3"/>
  <c r="H41" i="3"/>
  <c r="H50" i="3"/>
  <c r="H53" i="3"/>
  <c r="H21" i="3"/>
  <c r="H45" i="3"/>
  <c r="H42" i="3"/>
  <c r="H61" i="3"/>
  <c r="H57" i="3"/>
  <c r="H54" i="3"/>
  <c r="H20" i="3"/>
  <c r="H31" i="3"/>
  <c r="H46" i="3"/>
  <c r="H55" i="3"/>
  <c r="H62" i="3"/>
  <c r="H47" i="3"/>
  <c r="H27" i="3"/>
  <c r="H39" i="3"/>
  <c r="H51" i="3"/>
  <c r="F21" i="9"/>
  <c r="F51" i="9"/>
  <c r="C22" i="7"/>
  <c r="C26" i="7"/>
  <c r="E63" i="5"/>
  <c r="E62" i="3"/>
  <c r="E57" i="3"/>
  <c r="E55" i="3"/>
  <c r="E63" i="3"/>
  <c r="E61" i="3"/>
  <c r="E58" i="3"/>
  <c r="E56" i="3"/>
  <c r="E54" i="3"/>
  <c r="G30" i="5"/>
  <c r="G61" i="5"/>
  <c r="G34" i="5"/>
  <c r="E38" i="5"/>
  <c r="G47" i="5"/>
  <c r="E39" i="5"/>
  <c r="G42" i="5"/>
  <c r="G44" i="5"/>
  <c r="E47" i="5"/>
  <c r="G63" i="5"/>
  <c r="E33" i="5"/>
  <c r="G32" i="5"/>
  <c r="G49" i="5"/>
  <c r="E55" i="5"/>
  <c r="E62" i="5"/>
  <c r="E35" i="5"/>
  <c r="E29" i="5"/>
  <c r="G50" i="5"/>
  <c r="G53" i="5"/>
  <c r="G36" i="5"/>
  <c r="G58" i="5"/>
  <c r="E56" i="5"/>
  <c r="E58" i="5"/>
  <c r="E34" i="5"/>
  <c r="E32" i="5"/>
  <c r="E30" i="5"/>
  <c r="E28" i="5"/>
  <c r="E42" i="5"/>
  <c r="E50" i="5"/>
  <c r="E54" i="5"/>
  <c r="G38" i="5"/>
  <c r="G45" i="5"/>
  <c r="E36" i="5"/>
  <c r="G33" i="5"/>
  <c r="G43" i="5"/>
  <c r="G51" i="5"/>
  <c r="G55" i="5"/>
  <c r="G60" i="5"/>
  <c r="G62" i="5"/>
  <c r="E41" i="5"/>
  <c r="G46" i="5"/>
  <c r="G35" i="5"/>
  <c r="E31" i="5"/>
  <c r="G27" i="5"/>
  <c r="G39" i="5"/>
  <c r="E44" i="5"/>
  <c r="E53" i="5"/>
  <c r="E57" i="5"/>
  <c r="E61" i="5"/>
  <c r="E60" i="5"/>
  <c r="G54" i="5"/>
  <c r="G57" i="5"/>
  <c r="E49" i="5"/>
  <c r="E51" i="5"/>
  <c r="G41" i="5"/>
  <c r="E43" i="5"/>
  <c r="E40" i="5"/>
  <c r="E45" i="5"/>
  <c r="G28" i="5"/>
  <c r="G31" i="5"/>
  <c r="E27" i="5"/>
  <c r="E25" i="5"/>
  <c r="G25" i="5"/>
  <c r="E24" i="5"/>
  <c r="G24" i="5"/>
  <c r="E45" i="3"/>
  <c r="E42" i="3"/>
  <c r="E43" i="3"/>
  <c r="E46" i="3"/>
  <c r="E44" i="3"/>
  <c r="E34" i="3"/>
  <c r="E31" i="3"/>
  <c r="E35" i="3"/>
  <c r="E33" i="3"/>
  <c r="E32" i="3"/>
  <c r="F19" i="3"/>
  <c r="H19" i="3" s="1"/>
  <c r="D22" i="3"/>
  <c r="E22" i="3" s="1"/>
  <c r="E38" i="3"/>
  <c r="E47" i="3"/>
  <c r="E36" i="3"/>
  <c r="E29" i="3"/>
  <c r="E27" i="3"/>
  <c r="E39" i="3"/>
  <c r="E49" i="3"/>
  <c r="E51" i="3"/>
  <c r="E53" i="3"/>
  <c r="E30" i="3"/>
  <c r="E28" i="3"/>
  <c r="E24" i="3"/>
  <c r="E20" i="3"/>
  <c r="E18" i="3"/>
  <c r="E41" i="3"/>
  <c r="E40" i="3"/>
  <c r="E50" i="3"/>
  <c r="E60" i="3"/>
  <c r="E25" i="3"/>
  <c r="E23" i="3"/>
  <c r="E21" i="3"/>
  <c r="E19" i="3"/>
  <c r="E17" i="3"/>
  <c r="F16" i="3"/>
  <c r="H16" i="3" s="1"/>
  <c r="E16" i="3"/>
  <c r="F56" i="7"/>
  <c r="F57" i="7"/>
  <c r="F58" i="7"/>
  <c r="G58" i="7" s="1"/>
  <c r="F59" i="7"/>
  <c r="G59" i="7" s="1"/>
  <c r="F60" i="7"/>
  <c r="G60" i="7" s="1"/>
  <c r="F61" i="7"/>
  <c r="G61" i="7" s="1"/>
  <c r="F161" i="1"/>
  <c r="F162" i="1"/>
  <c r="F163" i="1"/>
  <c r="F165" i="1"/>
  <c r="F166" i="1"/>
  <c r="F53" i="7"/>
  <c r="F54" i="7"/>
  <c r="F55" i="7"/>
  <c r="F52" i="7"/>
  <c r="C53" i="7"/>
  <c r="C54" i="7"/>
  <c r="C55" i="7"/>
  <c r="C56" i="7"/>
  <c r="C57" i="7"/>
  <c r="C58" i="7"/>
  <c r="C59" i="7"/>
  <c r="C60" i="7"/>
  <c r="C61" i="7"/>
  <c r="C52" i="7"/>
  <c r="A53" i="7"/>
  <c r="D53" i="7" s="1"/>
  <c r="A54" i="7"/>
  <c r="A55" i="7"/>
  <c r="D55" i="7" s="1"/>
  <c r="A56" i="7"/>
  <c r="A57" i="7"/>
  <c r="A58" i="7"/>
  <c r="E58" i="7" s="1"/>
  <c r="A59" i="7"/>
  <c r="E59" i="7" s="1"/>
  <c r="A60" i="7"/>
  <c r="E60" i="7" s="1"/>
  <c r="A61" i="7"/>
  <c r="E61" i="7" s="1"/>
  <c r="A52" i="7"/>
  <c r="B41" i="7"/>
  <c r="D41" i="7" s="1"/>
  <c r="B42" i="7"/>
  <c r="D42" i="7" s="1"/>
  <c r="B43" i="7"/>
  <c r="D43" i="7" s="1"/>
  <c r="B44" i="7"/>
  <c r="D44" i="7" s="1"/>
  <c r="B45" i="7"/>
  <c r="D45" i="7" s="1"/>
  <c r="B46" i="7"/>
  <c r="D46" i="7" s="1"/>
  <c r="B40" i="7"/>
  <c r="D40" i="7" s="1"/>
  <c r="C17" i="7"/>
  <c r="C16" i="7"/>
  <c r="B10" i="7"/>
  <c r="B9" i="7"/>
  <c r="B8" i="7"/>
  <c r="B7" i="7"/>
  <c r="C9" i="6"/>
  <c r="C7" i="6"/>
  <c r="C8" i="6"/>
  <c r="C6" i="6"/>
  <c r="A220" i="6"/>
  <c r="C182" i="6"/>
  <c r="J182" i="6" s="1"/>
  <c r="C183" i="6"/>
  <c r="J183" i="6" s="1"/>
  <c r="C184" i="6"/>
  <c r="J184" i="6" s="1"/>
  <c r="C185" i="6"/>
  <c r="J185" i="6" s="1"/>
  <c r="C186" i="6"/>
  <c r="J186" i="6" s="1"/>
  <c r="C187" i="6"/>
  <c r="J187" i="6" s="1"/>
  <c r="C188" i="6"/>
  <c r="I188" i="6" s="1"/>
  <c r="C189" i="6"/>
  <c r="J189" i="6" s="1"/>
  <c r="C190" i="6"/>
  <c r="J190" i="6" s="1"/>
  <c r="C191" i="6"/>
  <c r="J191" i="6" s="1"/>
  <c r="C192" i="6"/>
  <c r="I192" i="6" s="1"/>
  <c r="C193" i="6"/>
  <c r="J193" i="6" s="1"/>
  <c r="C194" i="6"/>
  <c r="I194" i="6" s="1"/>
  <c r="C195" i="6"/>
  <c r="J195" i="6" s="1"/>
  <c r="C196" i="6"/>
  <c r="J196" i="6" s="1"/>
  <c r="C197" i="6"/>
  <c r="J197" i="6" s="1"/>
  <c r="C181" i="6"/>
  <c r="J181" i="6" s="1"/>
  <c r="C170" i="6"/>
  <c r="J170" i="6" s="1"/>
  <c r="D170" i="6"/>
  <c r="E170" i="6" s="1"/>
  <c r="C171" i="6"/>
  <c r="J171" i="6" s="1"/>
  <c r="D171" i="6"/>
  <c r="E171" i="6" s="1"/>
  <c r="C172" i="6"/>
  <c r="J172" i="6" s="1"/>
  <c r="D172" i="6"/>
  <c r="E172" i="6" s="1"/>
  <c r="D169" i="6"/>
  <c r="E169" i="6" s="1"/>
  <c r="C169" i="6"/>
  <c r="J169" i="6" s="1"/>
  <c r="C157" i="6"/>
  <c r="C158" i="6"/>
  <c r="C159" i="6"/>
  <c r="C160" i="6"/>
  <c r="C156" i="6"/>
  <c r="B157" i="6"/>
  <c r="B158" i="6"/>
  <c r="K158" i="6" s="1"/>
  <c r="B159" i="6"/>
  <c r="F159" i="6" s="1"/>
  <c r="B160" i="6"/>
  <c r="D160" i="6" s="1"/>
  <c r="B156" i="6"/>
  <c r="G156" i="6" s="1"/>
  <c r="D140" i="6"/>
  <c r="D141" i="6"/>
  <c r="D142" i="6"/>
  <c r="D143" i="6"/>
  <c r="D139" i="6"/>
  <c r="B43" i="6"/>
  <c r="G43" i="6" s="1"/>
  <c r="B140" i="6"/>
  <c r="F140" i="6" s="1"/>
  <c r="B141" i="6"/>
  <c r="G141" i="6" s="1"/>
  <c r="B142" i="6"/>
  <c r="G142" i="6" s="1"/>
  <c r="B143" i="6"/>
  <c r="H143" i="6" s="1"/>
  <c r="B139" i="6"/>
  <c r="G139" i="6" s="1"/>
  <c r="B44" i="6"/>
  <c r="F44" i="6" s="1"/>
  <c r="B45" i="6"/>
  <c r="B46" i="6"/>
  <c r="B47" i="6"/>
  <c r="C114" i="6"/>
  <c r="J114" i="6" s="1"/>
  <c r="C115" i="6"/>
  <c r="H115" i="6" s="1"/>
  <c r="C116" i="6"/>
  <c r="H116" i="6" s="1"/>
  <c r="C117" i="6"/>
  <c r="H117" i="6" s="1"/>
  <c r="C118" i="6"/>
  <c r="J118" i="6" s="1"/>
  <c r="C119" i="6"/>
  <c r="I119" i="6" s="1"/>
  <c r="C120" i="6"/>
  <c r="H120" i="6" s="1"/>
  <c r="C121" i="6"/>
  <c r="H121" i="6" s="1"/>
  <c r="C122" i="6"/>
  <c r="J122" i="6" s="1"/>
  <c r="C123" i="6"/>
  <c r="H123" i="6" s="1"/>
  <c r="C124" i="6"/>
  <c r="H124" i="6" s="1"/>
  <c r="C125" i="6"/>
  <c r="H125" i="6" s="1"/>
  <c r="C126" i="6"/>
  <c r="J126" i="6" s="1"/>
  <c r="C127" i="6"/>
  <c r="H127" i="6" s="1"/>
  <c r="C128" i="6"/>
  <c r="H128" i="6" s="1"/>
  <c r="C129" i="6"/>
  <c r="H129" i="6" s="1"/>
  <c r="C113" i="6"/>
  <c r="I113" i="6" s="1"/>
  <c r="C97" i="6"/>
  <c r="C98" i="6"/>
  <c r="C99" i="6"/>
  <c r="C100" i="6"/>
  <c r="C101" i="6"/>
  <c r="C102" i="6"/>
  <c r="C103" i="6"/>
  <c r="C104" i="6"/>
  <c r="C105" i="6"/>
  <c r="C96" i="6"/>
  <c r="B97" i="6"/>
  <c r="H97" i="6" s="1"/>
  <c r="B98" i="6"/>
  <c r="F98" i="6" s="1"/>
  <c r="B99" i="6"/>
  <c r="B100" i="6"/>
  <c r="B101" i="6"/>
  <c r="F101" i="6" s="1"/>
  <c r="B102" i="6"/>
  <c r="J102" i="6" s="1"/>
  <c r="B103" i="6"/>
  <c r="G103" i="6" s="1"/>
  <c r="B104" i="6"/>
  <c r="F104" i="6" s="1"/>
  <c r="B105" i="6"/>
  <c r="J105" i="6" s="1"/>
  <c r="B96" i="6"/>
  <c r="H96" i="6" s="1"/>
  <c r="C80" i="6"/>
  <c r="D80" i="6"/>
  <c r="C81" i="6"/>
  <c r="D81" i="6"/>
  <c r="C82" i="6"/>
  <c r="D82" i="6"/>
  <c r="C83" i="6"/>
  <c r="D83" i="6"/>
  <c r="C84" i="6"/>
  <c r="D84" i="6"/>
  <c r="D79" i="6"/>
  <c r="C79" i="6"/>
  <c r="D74" i="6"/>
  <c r="D73" i="6"/>
  <c r="C74" i="6"/>
  <c r="C73" i="6"/>
  <c r="E84" i="6"/>
  <c r="E83" i="6"/>
  <c r="E82" i="6"/>
  <c r="E81" i="6"/>
  <c r="E80" i="6"/>
  <c r="E79" i="6"/>
  <c r="E74" i="6"/>
  <c r="E73" i="6"/>
  <c r="E60" i="6"/>
  <c r="D60" i="6"/>
  <c r="E64" i="6"/>
  <c r="D64" i="6"/>
  <c r="D61" i="6"/>
  <c r="D44" i="6"/>
  <c r="D45" i="6"/>
  <c r="D46" i="6"/>
  <c r="D47" i="6"/>
  <c r="D43" i="6"/>
  <c r="B21" i="6"/>
  <c r="B22" i="6"/>
  <c r="B23" i="6"/>
  <c r="B24" i="6"/>
  <c r="H24" i="6" s="1"/>
  <c r="B25" i="6"/>
  <c r="I25" i="6" s="1"/>
  <c r="B26" i="6"/>
  <c r="I26" i="6" s="1"/>
  <c r="B27" i="6"/>
  <c r="B28" i="6"/>
  <c r="B29" i="6"/>
  <c r="B20" i="6"/>
  <c r="E27" i="6"/>
  <c r="F27" i="6"/>
  <c r="G27" i="6"/>
  <c r="E28" i="6"/>
  <c r="F28" i="6"/>
  <c r="G28" i="6"/>
  <c r="E29" i="6"/>
  <c r="F29" i="6"/>
  <c r="G29" i="6"/>
  <c r="D21" i="6"/>
  <c r="D22" i="6"/>
  <c r="D23" i="6"/>
  <c r="D24" i="6"/>
  <c r="D25" i="6"/>
  <c r="D26" i="6"/>
  <c r="D27" i="6"/>
  <c r="D28" i="6"/>
  <c r="D29" i="6"/>
  <c r="D20" i="6"/>
  <c r="F21" i="6"/>
  <c r="G21" i="6"/>
  <c r="F22" i="6"/>
  <c r="G22" i="6"/>
  <c r="F23" i="6"/>
  <c r="G23" i="6"/>
  <c r="F24" i="6"/>
  <c r="G24" i="6"/>
  <c r="F25" i="6"/>
  <c r="G25" i="6"/>
  <c r="F26" i="6"/>
  <c r="G26" i="6"/>
  <c r="G20" i="6"/>
  <c r="F20" i="6"/>
  <c r="E21" i="6"/>
  <c r="E22" i="6"/>
  <c r="E23" i="6"/>
  <c r="E24" i="6"/>
  <c r="E25" i="6"/>
  <c r="E26" i="6"/>
  <c r="E20" i="6"/>
  <c r="E109" i="5"/>
  <c r="E110" i="5"/>
  <c r="E111" i="5"/>
  <c r="E112" i="5"/>
  <c r="E113" i="5"/>
  <c r="E114" i="5"/>
  <c r="E115" i="5"/>
  <c r="E116" i="5"/>
  <c r="E117" i="5"/>
  <c r="E108" i="5"/>
  <c r="C109" i="5"/>
  <c r="F109" i="5" s="1"/>
  <c r="C110" i="5"/>
  <c r="F110" i="5" s="1"/>
  <c r="C111" i="5"/>
  <c r="F111" i="5" s="1"/>
  <c r="C112" i="5"/>
  <c r="C113" i="5"/>
  <c r="C114" i="5"/>
  <c r="F114" i="5" s="1"/>
  <c r="C115" i="5"/>
  <c r="G115" i="5" s="1"/>
  <c r="C116" i="5"/>
  <c r="G116" i="5" s="1"/>
  <c r="C117" i="5"/>
  <c r="G117" i="5" s="1"/>
  <c r="C108" i="5"/>
  <c r="F108" i="5" s="1"/>
  <c r="C96" i="5"/>
  <c r="E96" i="5" s="1"/>
  <c r="C97" i="5"/>
  <c r="E97" i="5" s="1"/>
  <c r="C98" i="5"/>
  <c r="E98" i="5" s="1"/>
  <c r="C99" i="5"/>
  <c r="E99" i="5" s="1"/>
  <c r="C100" i="5"/>
  <c r="E100" i="5" s="1"/>
  <c r="C101" i="5"/>
  <c r="E101" i="5" s="1"/>
  <c r="C95" i="5"/>
  <c r="E95" i="5" s="1"/>
  <c r="C33" i="7"/>
  <c r="G88" i="5"/>
  <c r="G87" i="5"/>
  <c r="G86" i="5"/>
  <c r="G84" i="5"/>
  <c r="G83" i="5"/>
  <c r="C83" i="5"/>
  <c r="G82" i="5"/>
  <c r="C79" i="5"/>
  <c r="C78" i="5"/>
  <c r="K124" i="5" s="1"/>
  <c r="C74" i="5"/>
  <c r="C72" i="5"/>
  <c r="G124" i="5" s="1"/>
  <c r="C23" i="5"/>
  <c r="B23" i="5"/>
  <c r="F23" i="5" s="1"/>
  <c r="C22" i="5"/>
  <c r="B22" i="5"/>
  <c r="D22" i="5" s="1"/>
  <c r="C21" i="5"/>
  <c r="B21" i="5"/>
  <c r="D21" i="5" s="1"/>
  <c r="C20" i="5"/>
  <c r="B20" i="5"/>
  <c r="D20" i="5" s="1"/>
  <c r="C19" i="5"/>
  <c r="B19" i="5"/>
  <c r="D19" i="5" s="1"/>
  <c r="C18" i="5"/>
  <c r="B18" i="5"/>
  <c r="F18" i="5" s="1"/>
  <c r="C17" i="5"/>
  <c r="B17" i="5"/>
  <c r="F17" i="5" s="1"/>
  <c r="C16" i="5"/>
  <c r="B16" i="5"/>
  <c r="F16" i="5" s="1"/>
  <c r="G88" i="3"/>
  <c r="G89" i="3"/>
  <c r="G87" i="3"/>
  <c r="C88" i="3"/>
  <c r="C153" i="3" s="1"/>
  <c r="G84" i="3"/>
  <c r="G85" i="3"/>
  <c r="G83" i="3"/>
  <c r="C84" i="3"/>
  <c r="B153" i="3" s="1"/>
  <c r="C80" i="3"/>
  <c r="C79" i="3"/>
  <c r="B154" i="3" s="1"/>
  <c r="C75" i="3"/>
  <c r="C73" i="3"/>
  <c r="C119" i="3" s="1"/>
  <c r="B10" i="3"/>
  <c r="B8" i="3"/>
  <c r="B9" i="3"/>
  <c r="B7" i="3"/>
  <c r="B112" i="9" l="1"/>
  <c r="G55" i="7"/>
  <c r="E53" i="7"/>
  <c r="G53" i="7" s="1"/>
  <c r="C156" i="3"/>
  <c r="D156" i="3"/>
  <c r="B156" i="3"/>
  <c r="D154" i="3"/>
  <c r="C154" i="3"/>
  <c r="B155" i="3"/>
  <c r="C155" i="3"/>
  <c r="D155" i="3"/>
  <c r="G163" i="3"/>
  <c r="G162" i="3"/>
  <c r="G161" i="3"/>
  <c r="H120" i="3"/>
  <c r="C128" i="3"/>
  <c r="C66" i="3"/>
  <c r="D60" i="7"/>
  <c r="D58" i="7"/>
  <c r="F160" i="1"/>
  <c r="F157" i="1"/>
  <c r="F159" i="1"/>
  <c r="F158" i="1"/>
  <c r="D59" i="7"/>
  <c r="D61" i="7"/>
  <c r="D47" i="7"/>
  <c r="D57" i="7"/>
  <c r="E57" i="7" s="1"/>
  <c r="G57" i="7" s="1"/>
  <c r="F115" i="5"/>
  <c r="D56" i="7"/>
  <c r="E56" i="7" s="1"/>
  <c r="G56" i="7" s="1"/>
  <c r="D54" i="7"/>
  <c r="E54" i="7" s="1"/>
  <c r="G54" i="7" s="1"/>
  <c r="D52" i="7"/>
  <c r="E52" i="7" s="1"/>
  <c r="G52" i="7" s="1"/>
  <c r="E55" i="7"/>
  <c r="G111" i="5"/>
  <c r="C18" i="7"/>
  <c r="I184" i="6"/>
  <c r="I186" i="6"/>
  <c r="J192" i="6"/>
  <c r="F113" i="5"/>
  <c r="G113" i="5" s="1"/>
  <c r="F112" i="5"/>
  <c r="G112" i="5" s="1"/>
  <c r="I172" i="6"/>
  <c r="J173" i="6"/>
  <c r="F216" i="6" s="1"/>
  <c r="F117" i="5"/>
  <c r="F116" i="5"/>
  <c r="I196" i="6"/>
  <c r="D158" i="6"/>
  <c r="J188" i="6"/>
  <c r="I170" i="6"/>
  <c r="H170" i="6"/>
  <c r="I182" i="6"/>
  <c r="J194" i="6"/>
  <c r="I190" i="6"/>
  <c r="H181" i="6"/>
  <c r="H183" i="6"/>
  <c r="H185" i="6"/>
  <c r="H187" i="6"/>
  <c r="H189" i="6"/>
  <c r="H191" i="6"/>
  <c r="H193" i="6"/>
  <c r="H195" i="6"/>
  <c r="H197" i="6"/>
  <c r="I181" i="6"/>
  <c r="I183" i="6"/>
  <c r="I185" i="6"/>
  <c r="I187" i="6"/>
  <c r="I189" i="6"/>
  <c r="I191" i="6"/>
  <c r="I193" i="6"/>
  <c r="I195" i="6"/>
  <c r="I197" i="6"/>
  <c r="H182" i="6"/>
  <c r="H184" i="6"/>
  <c r="H186" i="6"/>
  <c r="H188" i="6"/>
  <c r="H190" i="6"/>
  <c r="H192" i="6"/>
  <c r="H194" i="6"/>
  <c r="H196" i="6"/>
  <c r="I169" i="6"/>
  <c r="H172" i="6"/>
  <c r="H171" i="6"/>
  <c r="I171" i="6"/>
  <c r="H169" i="6"/>
  <c r="H158" i="6"/>
  <c r="J158" i="6"/>
  <c r="D157" i="6"/>
  <c r="E157" i="6" s="1"/>
  <c r="H156" i="6"/>
  <c r="G158" i="6"/>
  <c r="K160" i="6"/>
  <c r="I158" i="6"/>
  <c r="I140" i="6"/>
  <c r="E141" i="6"/>
  <c r="H141" i="6" s="1"/>
  <c r="H160" i="6"/>
  <c r="F158" i="6"/>
  <c r="J160" i="6"/>
  <c r="E160" i="6"/>
  <c r="G160" i="6"/>
  <c r="H157" i="6"/>
  <c r="I160" i="6"/>
  <c r="E159" i="6"/>
  <c r="F160" i="6"/>
  <c r="G157" i="6"/>
  <c r="K159" i="6"/>
  <c r="D156" i="6"/>
  <c r="E156" i="6" s="1"/>
  <c r="E158" i="6"/>
  <c r="H159" i="6"/>
  <c r="F157" i="6"/>
  <c r="J159" i="6"/>
  <c r="G159" i="6"/>
  <c r="I159" i="6"/>
  <c r="D159" i="6"/>
  <c r="F156" i="6"/>
  <c r="E143" i="6"/>
  <c r="I143" i="6"/>
  <c r="G140" i="6"/>
  <c r="J140" i="6" s="1"/>
  <c r="F143" i="6"/>
  <c r="J143" i="6"/>
  <c r="G143" i="6"/>
  <c r="H126" i="6"/>
  <c r="F141" i="6"/>
  <c r="I141" i="6" s="1"/>
  <c r="J141" i="6"/>
  <c r="I115" i="6"/>
  <c r="E139" i="6"/>
  <c r="H139" i="6" s="1"/>
  <c r="H142" i="6"/>
  <c r="F139" i="6"/>
  <c r="I139" i="6" s="1"/>
  <c r="E142" i="6"/>
  <c r="J139" i="6"/>
  <c r="I142" i="6"/>
  <c r="F142" i="6"/>
  <c r="J142" i="6"/>
  <c r="E140" i="6"/>
  <c r="H140" i="6" s="1"/>
  <c r="I124" i="6"/>
  <c r="I114" i="6"/>
  <c r="I122" i="6"/>
  <c r="H122" i="6"/>
  <c r="J119" i="6"/>
  <c r="J127" i="6"/>
  <c r="H119" i="6"/>
  <c r="I127" i="6"/>
  <c r="I118" i="6"/>
  <c r="J115" i="6"/>
  <c r="I126" i="6"/>
  <c r="H114" i="6"/>
  <c r="J123" i="6"/>
  <c r="H118" i="6"/>
  <c r="I123" i="6"/>
  <c r="I116" i="6"/>
  <c r="I128" i="6"/>
  <c r="J125" i="6"/>
  <c r="I120" i="6"/>
  <c r="J117" i="6"/>
  <c r="J128" i="6"/>
  <c r="J120" i="6"/>
  <c r="I125" i="6"/>
  <c r="I117" i="6"/>
  <c r="J124" i="6"/>
  <c r="J116" i="6"/>
  <c r="J129" i="6"/>
  <c r="J121" i="6"/>
  <c r="I129" i="6"/>
  <c r="I121" i="6"/>
  <c r="H113" i="6"/>
  <c r="J113" i="6"/>
  <c r="F81" i="6"/>
  <c r="H105" i="6"/>
  <c r="G105" i="6"/>
  <c r="D96" i="6"/>
  <c r="E96" i="6" s="1"/>
  <c r="K96" i="6" s="1"/>
  <c r="G104" i="6"/>
  <c r="D99" i="6"/>
  <c r="E99" i="6" s="1"/>
  <c r="H101" i="6"/>
  <c r="K104" i="6"/>
  <c r="D98" i="6"/>
  <c r="E98" i="6" s="1"/>
  <c r="G100" i="6"/>
  <c r="G97" i="6"/>
  <c r="I105" i="6"/>
  <c r="E105" i="6"/>
  <c r="F100" i="6"/>
  <c r="H102" i="6"/>
  <c r="D105" i="6"/>
  <c r="D97" i="6"/>
  <c r="E97" i="6" s="1"/>
  <c r="F105" i="6"/>
  <c r="G102" i="6"/>
  <c r="H99" i="6"/>
  <c r="F97" i="6"/>
  <c r="J104" i="6"/>
  <c r="I102" i="6"/>
  <c r="D104" i="6"/>
  <c r="H104" i="6"/>
  <c r="F102" i="6"/>
  <c r="G99" i="6"/>
  <c r="I104" i="6"/>
  <c r="F99" i="6"/>
  <c r="D102" i="6"/>
  <c r="E104" i="6"/>
  <c r="F96" i="6"/>
  <c r="G101" i="6"/>
  <c r="H98" i="6"/>
  <c r="J103" i="6"/>
  <c r="D103" i="6"/>
  <c r="K103" i="6"/>
  <c r="D101" i="6"/>
  <c r="E101" i="6" s="1"/>
  <c r="E103" i="6"/>
  <c r="G96" i="6"/>
  <c r="H103" i="6"/>
  <c r="G98" i="6"/>
  <c r="K105" i="6"/>
  <c r="I103" i="6"/>
  <c r="F103" i="6"/>
  <c r="D100" i="6"/>
  <c r="E100" i="6" s="1"/>
  <c r="E102" i="6"/>
  <c r="H100" i="6"/>
  <c r="K102" i="6"/>
  <c r="F84" i="6"/>
  <c r="F80" i="6"/>
  <c r="F82" i="6"/>
  <c r="F83" i="6"/>
  <c r="F79" i="6"/>
  <c r="F74" i="6"/>
  <c r="F73" i="6"/>
  <c r="E63" i="6"/>
  <c r="E65" i="6" s="1"/>
  <c r="D63" i="6"/>
  <c r="D65" i="6" s="1"/>
  <c r="G46" i="6"/>
  <c r="J46" i="6" s="1"/>
  <c r="E44" i="6"/>
  <c r="H44" i="6" s="1"/>
  <c r="F46" i="6"/>
  <c r="E43" i="6"/>
  <c r="H43" i="6" s="1"/>
  <c r="E46" i="6"/>
  <c r="H46" i="6"/>
  <c r="F43" i="6"/>
  <c r="I43" i="6" s="1"/>
  <c r="G45" i="6"/>
  <c r="J45" i="6" s="1"/>
  <c r="J43" i="6"/>
  <c r="I46" i="6"/>
  <c r="F45" i="6"/>
  <c r="I45" i="6" s="1"/>
  <c r="G47" i="6"/>
  <c r="J47" i="6" s="1"/>
  <c r="E45" i="6"/>
  <c r="H45" i="6" s="1"/>
  <c r="I44" i="6"/>
  <c r="F47" i="6"/>
  <c r="G44" i="6"/>
  <c r="J44" i="6" s="1"/>
  <c r="I47" i="6"/>
  <c r="E47" i="6"/>
  <c r="H47" i="6" s="1"/>
  <c r="J29" i="6"/>
  <c r="J21" i="6"/>
  <c r="H29" i="6"/>
  <c r="H21" i="6"/>
  <c r="J23" i="6"/>
  <c r="H20" i="6"/>
  <c r="J22" i="6"/>
  <c r="I29" i="6"/>
  <c r="I21" i="6"/>
  <c r="H28" i="6"/>
  <c r="H25" i="6"/>
  <c r="J20" i="6"/>
  <c r="I22" i="6"/>
  <c r="I27" i="6"/>
  <c r="J24" i="6"/>
  <c r="I20" i="6"/>
  <c r="H22" i="6"/>
  <c r="I24" i="6"/>
  <c r="H27" i="6"/>
  <c r="J26" i="6"/>
  <c r="J28" i="6"/>
  <c r="H26" i="6"/>
  <c r="I23" i="6"/>
  <c r="J27" i="6"/>
  <c r="I28" i="6"/>
  <c r="J25" i="6"/>
  <c r="H23" i="6"/>
  <c r="G110" i="5"/>
  <c r="G114" i="5"/>
  <c r="G108" i="5"/>
  <c r="G109" i="5"/>
  <c r="E102" i="5"/>
  <c r="G131" i="5" s="1"/>
  <c r="E22" i="5"/>
  <c r="C127" i="3"/>
  <c r="G18" i="5"/>
  <c r="G16" i="5"/>
  <c r="G17" i="5"/>
  <c r="G23" i="5"/>
  <c r="F21" i="5"/>
  <c r="G21" i="5" s="1"/>
  <c r="F20" i="5"/>
  <c r="G20" i="5" s="1"/>
  <c r="E20" i="5"/>
  <c r="E21" i="5"/>
  <c r="E19" i="5"/>
  <c r="C76" i="5"/>
  <c r="F22" i="5"/>
  <c r="G22" i="5" s="1"/>
  <c r="D18" i="5"/>
  <c r="D17" i="5"/>
  <c r="F19" i="5"/>
  <c r="G19" i="5" s="1"/>
  <c r="D16" i="5"/>
  <c r="D23" i="5"/>
  <c r="C77" i="3"/>
  <c r="C67" i="3" l="1"/>
  <c r="I101" i="6"/>
  <c r="J101" i="6"/>
  <c r="K101" i="6"/>
  <c r="K100" i="6"/>
  <c r="I100" i="6"/>
  <c r="J100" i="6"/>
  <c r="E169" i="1"/>
  <c r="E173" i="1" s="1"/>
  <c r="H173" i="6"/>
  <c r="D216" i="6" s="1"/>
  <c r="G62" i="7"/>
  <c r="D32" i="7" s="1"/>
  <c r="D33" i="7"/>
  <c r="E62" i="7"/>
  <c r="K99" i="6"/>
  <c r="I99" i="6"/>
  <c r="J99" i="6"/>
  <c r="I173" i="6"/>
  <c r="E216" i="6" s="1"/>
  <c r="J198" i="6"/>
  <c r="F217" i="6" s="1"/>
  <c r="I198" i="6"/>
  <c r="E217" i="6" s="1"/>
  <c r="H198" i="6"/>
  <c r="D217" i="6" s="1"/>
  <c r="J157" i="6"/>
  <c r="I157" i="6"/>
  <c r="I144" i="6"/>
  <c r="I147" i="6" s="1"/>
  <c r="E214" i="6" s="1"/>
  <c r="J156" i="6"/>
  <c r="K156" i="6"/>
  <c r="I156" i="6"/>
  <c r="H144" i="6"/>
  <c r="H147" i="6" s="1"/>
  <c r="D214" i="6" s="1"/>
  <c r="K157" i="6"/>
  <c r="J144" i="6"/>
  <c r="J147" i="6" s="1"/>
  <c r="F214" i="6" s="1"/>
  <c r="H130" i="6"/>
  <c r="D209" i="6" s="1"/>
  <c r="I130" i="6"/>
  <c r="E209" i="6" s="1"/>
  <c r="J130" i="6"/>
  <c r="F209" i="6" s="1"/>
  <c r="K98" i="6"/>
  <c r="I98" i="6"/>
  <c r="I97" i="6"/>
  <c r="K97" i="6"/>
  <c r="J97" i="6"/>
  <c r="J96" i="6"/>
  <c r="I96" i="6"/>
  <c r="J98" i="6"/>
  <c r="F85" i="6"/>
  <c r="F75" i="6"/>
  <c r="I48" i="6"/>
  <c r="I51" i="6" s="1"/>
  <c r="E206" i="6" s="1"/>
  <c r="H48" i="6"/>
  <c r="H51" i="6" s="1"/>
  <c r="D206" i="6" s="1"/>
  <c r="J48" i="6"/>
  <c r="J51" i="6" s="1"/>
  <c r="F206" i="6" s="1"/>
  <c r="I31" i="6"/>
  <c r="I34" i="6" s="1"/>
  <c r="E205" i="6" s="1"/>
  <c r="H31" i="6"/>
  <c r="H34" i="6" s="1"/>
  <c r="D205" i="6" s="1"/>
  <c r="J31" i="6"/>
  <c r="J34" i="6" s="1"/>
  <c r="F205" i="6" s="1"/>
  <c r="G118" i="5"/>
  <c r="G132" i="5" s="1"/>
  <c r="C81" i="5"/>
  <c r="G126" i="5" s="1"/>
  <c r="G125" i="5"/>
  <c r="C66" i="5"/>
  <c r="G129" i="5" s="1"/>
  <c r="C101" i="3"/>
  <c r="C97" i="3"/>
  <c r="C82" i="3"/>
  <c r="C120" i="3"/>
  <c r="E17" i="5"/>
  <c r="E18" i="5"/>
  <c r="E23" i="5"/>
  <c r="E16" i="5"/>
  <c r="C122" i="3"/>
  <c r="C32" i="7" l="1"/>
  <c r="C31" i="7"/>
  <c r="C34" i="7" s="1"/>
  <c r="D31" i="7"/>
  <c r="D34" i="7" s="1"/>
  <c r="J161" i="6"/>
  <c r="E215" i="6" s="1"/>
  <c r="E218" i="6" s="1"/>
  <c r="I161" i="6"/>
  <c r="D215" i="6" s="1"/>
  <c r="D218" i="6" s="1"/>
  <c r="K161" i="6"/>
  <c r="F215" i="6" s="1"/>
  <c r="F218" i="6" s="1"/>
  <c r="I106" i="6"/>
  <c r="D208" i="6" s="1"/>
  <c r="J106" i="6"/>
  <c r="E208" i="6" s="1"/>
  <c r="E210" i="6" s="1"/>
  <c r="K106" i="6"/>
  <c r="F208" i="6" s="1"/>
  <c r="F210" i="6" s="1"/>
  <c r="F87" i="6"/>
  <c r="F89" i="6" s="1"/>
  <c r="D207" i="6" s="1"/>
  <c r="C85" i="5"/>
  <c r="G133" i="5"/>
  <c r="G135" i="5" s="1"/>
  <c r="C123" i="3"/>
  <c r="C86" i="3"/>
  <c r="C121" i="3"/>
  <c r="C126" i="3"/>
  <c r="C65" i="5"/>
  <c r="G127" i="5" s="1"/>
  <c r="G128" i="5" s="1"/>
  <c r="C98" i="3"/>
  <c r="C102" i="3"/>
  <c r="C152" i="3" l="1"/>
  <c r="B152" i="3"/>
  <c r="D152" i="3"/>
  <c r="C125" i="3"/>
  <c r="E221" i="6"/>
  <c r="E223" i="6" s="1"/>
  <c r="E227" i="6"/>
  <c r="E229" i="6" s="1"/>
  <c r="F221" i="6"/>
  <c r="F223" i="6" s="1"/>
  <c r="F227" i="6"/>
  <c r="F229" i="6" s="1"/>
  <c r="D210" i="6"/>
  <c r="G134" i="5"/>
  <c r="C67" i="5"/>
  <c r="G130" i="5" s="1"/>
  <c r="C68" i="3"/>
  <c r="C124" i="3" s="1"/>
  <c r="E110" i="3"/>
  <c r="C114" i="3" s="1"/>
  <c r="C115" i="3" s="1"/>
  <c r="D221" i="6" l="1"/>
  <c r="D223" i="6" s="1"/>
  <c r="D227" i="6"/>
  <c r="D229" i="6" s="1"/>
</calcChain>
</file>

<file path=xl/sharedStrings.xml><?xml version="1.0" encoding="utf-8"?>
<sst xmlns="http://schemas.openxmlformats.org/spreadsheetml/2006/main" count="1676" uniqueCount="854">
  <si>
    <t>NOM EXPLOITATION =</t>
  </si>
  <si>
    <t>CAMPAGNE =</t>
  </si>
  <si>
    <t>Catégories d'animaux</t>
  </si>
  <si>
    <t>Effectif moyen</t>
  </si>
  <si>
    <t>Nb de mois avec stock (*)</t>
  </si>
  <si>
    <t>Coef UGB</t>
  </si>
  <si>
    <t>Besoins MS (tMS/an)</t>
  </si>
  <si>
    <t>TROUPEAU BOVIN LAIT</t>
  </si>
  <si>
    <t>Taureaux</t>
  </si>
  <si>
    <t>Total UGB =</t>
  </si>
  <si>
    <t>Total Besoins stocks (t MS/an) =</t>
  </si>
  <si>
    <t>Besoins stocks tMS/UGB =</t>
  </si>
  <si>
    <t xml:space="preserve">SAU = </t>
  </si>
  <si>
    <t>ha</t>
  </si>
  <si>
    <t>Cultures non fourragères (**) =</t>
  </si>
  <si>
    <t>(**) y compris céréales autoconsommées</t>
  </si>
  <si>
    <t xml:space="preserve">SFP (SAU - Cultures) = </t>
  </si>
  <si>
    <t xml:space="preserve">Surfaces en Herbe (SFP - Maïs - Autre four) = </t>
  </si>
  <si>
    <t>dont  ensilage C1 =</t>
  </si>
  <si>
    <t>dont  enrub. C1 =</t>
  </si>
  <si>
    <t>dont foin C1 =</t>
  </si>
  <si>
    <t xml:space="preserve">Surfaces pâture seule = </t>
  </si>
  <si>
    <t>dont  ensilage C2 =</t>
  </si>
  <si>
    <t>dont  enrub. C2 =</t>
  </si>
  <si>
    <t>dont foin C2 =</t>
  </si>
  <si>
    <t>Type de récolte</t>
  </si>
  <si>
    <t>Surface
 récoltée</t>
  </si>
  <si>
    <t>TOTAL MS RECOLTE</t>
  </si>
  <si>
    <t xml:space="preserve">Ha Maïs fourrage = </t>
  </si>
  <si>
    <t>(8 - 12)</t>
  </si>
  <si>
    <t xml:space="preserve">Ha Ensilage Herbe C1 = </t>
  </si>
  <si>
    <t>(3.6 - 3.8)</t>
  </si>
  <si>
    <t xml:space="preserve">Ha Ensilage Herbe C2 = </t>
  </si>
  <si>
    <t>(2 - 2.5)</t>
  </si>
  <si>
    <t xml:space="preserve">Ha Enrubannage C1 = </t>
  </si>
  <si>
    <t xml:space="preserve">Ha Enrubannage C2 = </t>
  </si>
  <si>
    <t xml:space="preserve">Ha Foin C1 = </t>
  </si>
  <si>
    <t>(3.6 - 4.0)</t>
  </si>
  <si>
    <t xml:space="preserve">Ha Foin C2 = </t>
  </si>
  <si>
    <t>(1.5 - 2)</t>
  </si>
  <si>
    <t xml:space="preserve">Ha Luzerne C1 = </t>
  </si>
  <si>
    <t xml:space="preserve">Ha Luzerne C2 = </t>
  </si>
  <si>
    <t>(3.2 - 3.5)</t>
  </si>
  <si>
    <t xml:space="preserve">Ha Luzerne C3 = </t>
  </si>
  <si>
    <t>(2.5 - 3.0)</t>
  </si>
  <si>
    <t xml:space="preserve">Ha Méteil dér. précoce = </t>
  </si>
  <si>
    <t>(3.5 - 3.8)</t>
  </si>
  <si>
    <t xml:space="preserve">Ha Méteil immature = </t>
  </si>
  <si>
    <t>(7 - 10)</t>
  </si>
  <si>
    <t xml:space="preserve">Ha Autre n1 = </t>
  </si>
  <si>
    <t xml:space="preserve">Ha Autre n2 = </t>
  </si>
  <si>
    <t xml:space="preserve">Ha Autre n3 = </t>
  </si>
  <si>
    <t>Total Stocks récoltés (t MS/an) =</t>
  </si>
  <si>
    <t>Stocks récoltés tMS/UGB =</t>
  </si>
  <si>
    <t>Type de fourrage</t>
  </si>
  <si>
    <t>Volume (m3) ou nb de bottes</t>
  </si>
  <si>
    <t>Poids unitaires (tMS/m3 ou tMS/botte) (****)</t>
  </si>
  <si>
    <t>TOTAL MS STOCKE</t>
  </si>
  <si>
    <t>(****) voir "Guide estimation stocks fourragers PdeDome 2017</t>
  </si>
  <si>
    <t>Référence</t>
  </si>
  <si>
    <t>Chez moi</t>
  </si>
  <si>
    <t>0.21 tMS/m3</t>
  </si>
  <si>
    <t>Herbe ensilage</t>
  </si>
  <si>
    <t>0.22 tMS/m3</t>
  </si>
  <si>
    <t>Tonnage BESOINS en STOCKS</t>
  </si>
  <si>
    <t xml:space="preserve"> tMS</t>
  </si>
  <si>
    <t>Ecart 
RECOLTE - BESOINS</t>
  </si>
  <si>
    <t>en t MS/an =</t>
  </si>
  <si>
    <t>en % des BESOINS en STOCK du troupeau =</t>
  </si>
  <si>
    <t xml:space="preserve">Chargement (UGB/ha SFP) = </t>
  </si>
  <si>
    <t xml:space="preserve">Besoins en STOCKS (tMS/UGB) = </t>
  </si>
  <si>
    <t xml:space="preserve">Ares pâturées au printemps (ares/UGB)= </t>
  </si>
  <si>
    <t xml:space="preserve">% 2ème coupe / 1ère coupe = </t>
  </si>
  <si>
    <t>ADRESSE =</t>
  </si>
  <si>
    <t>CONSEILLER/ORGANISME =</t>
  </si>
  <si>
    <t>1 - Cheptel</t>
  </si>
  <si>
    <t>niveau production VL</t>
  </si>
  <si>
    <t>Vaches laitières</t>
  </si>
  <si>
    <t>Niveau production</t>
  </si>
  <si>
    <t>Génisses laitières &lt; 1an</t>
  </si>
  <si>
    <t>précocité vêlage</t>
  </si>
  <si>
    <t>tardif (30-36 mois)</t>
  </si>
  <si>
    <t>précoce (24-28 mois)</t>
  </si>
  <si>
    <t>Génisses laitières &gt; 2 ans</t>
  </si>
  <si>
    <t>Bœufs laitiers &lt; 1 an</t>
  </si>
  <si>
    <t xml:space="preserve">Bœufs laitier 1-2 ans </t>
  </si>
  <si>
    <t>Génisses laitières de 1 à 2 ans</t>
  </si>
  <si>
    <t>Précocité (vêlage ou bœufs)</t>
  </si>
  <si>
    <t>précocité bœufs laitiers</t>
  </si>
  <si>
    <t>tardif (36 mois)</t>
  </si>
  <si>
    <t>précoce (24 mois)</t>
  </si>
  <si>
    <t>Bœufs laitiers &gt; 2 ans</t>
  </si>
  <si>
    <t xml:space="preserve"> (*) exemple : 6 mois d'hivernage + 2 mois d'été avec demi-ration affouragement + 1 mois transition avec demi-ration = 6 + (2 x 0.5) + (1 x 0.5) = 7.5 mois</t>
  </si>
  <si>
    <t>Taurillons laitiers 1 à 2 ans</t>
  </si>
  <si>
    <t>Taurillons laitiers &lt; 1 an</t>
  </si>
  <si>
    <t xml:space="preserve">2 - Surfaces </t>
  </si>
  <si>
    <r>
      <t xml:space="preserve">Rdt tMS/ha
</t>
    </r>
    <r>
      <rPr>
        <i/>
        <sz val="11"/>
        <color theme="1"/>
        <rFont val="Calibri"/>
        <family val="2"/>
        <scheme val="minor"/>
      </rPr>
      <t>(indicatifs)</t>
    </r>
  </si>
  <si>
    <t>Rdt retenu (tMS/ha)</t>
  </si>
  <si>
    <t>3 -Stocs fourragers disponibles</t>
  </si>
  <si>
    <t>4 -Aliments, paille, engrais</t>
  </si>
  <si>
    <t>Vaches laitières 5000</t>
  </si>
  <si>
    <t>Vaches laitières 6000</t>
  </si>
  <si>
    <t>Vaches laitières 7000</t>
  </si>
  <si>
    <t>Vaches laitières 8000</t>
  </si>
  <si>
    <t>Génisses laitières de 1 à 2 ans tardif (30-36 mois)</t>
  </si>
  <si>
    <t>Bœufs laitier 1-2 ans  précoce (24 mois)</t>
  </si>
  <si>
    <t>Génisses laitières de 1 à 2 ans précoce (24-28 mois)</t>
  </si>
  <si>
    <t>Bœufs laitier 1-2 ans  tardif (36 mois)</t>
  </si>
  <si>
    <t>Coefficient UGB</t>
  </si>
  <si>
    <t>Nb de mois avec stock</t>
  </si>
  <si>
    <t>Total UGB</t>
  </si>
  <si>
    <t>total besoin stocks MS</t>
  </si>
  <si>
    <t>Besoin MS
(tMS/UGB/an)</t>
  </si>
  <si>
    <t>3 -Stocs fourragers</t>
  </si>
  <si>
    <t>3.1 - Estimation à partir des récoltes (surfaces et rendements)</t>
  </si>
  <si>
    <t>3.2 - Estimation à partir des nb de bottes et cubage de silos</t>
  </si>
  <si>
    <t>Tonnage RECOLTE ou STOCKE
(report calcul en 3,1 ou 3,2)</t>
  </si>
  <si>
    <t xml:space="preserve">SAU (ha) = </t>
  </si>
  <si>
    <t xml:space="preserve"> SFP (ha) = </t>
  </si>
  <si>
    <t xml:space="preserve">dont Ha maïs = </t>
  </si>
  <si>
    <t xml:space="preserve">Surface en Herbe (ha) = </t>
  </si>
  <si>
    <t xml:space="preserve">Total UGB = </t>
  </si>
  <si>
    <t>4 -Indicateurs et chiffres-clés du bilan fourrager</t>
  </si>
  <si>
    <t>Besoins MAT (kg/animal/an)</t>
  </si>
  <si>
    <t>Besoin MAT
(kg/animal/an)</t>
  </si>
  <si>
    <t>total besoin MAT</t>
  </si>
  <si>
    <t>Total Besoins MAT (kg/an) =</t>
  </si>
  <si>
    <t>référentiel MAT issu de CAPEL</t>
  </si>
  <si>
    <t>Libellé concentré acheté</t>
  </si>
  <si>
    <t xml:space="preserve">% MS  </t>
  </si>
  <si>
    <t>UFL</t>
  </si>
  <si>
    <t xml:space="preserve">MAT     </t>
  </si>
  <si>
    <t xml:space="preserve">Céréales à paille             </t>
  </si>
  <si>
    <t xml:space="preserve"> 88   </t>
  </si>
  <si>
    <t xml:space="preserve">Tourteau soja 44              </t>
  </si>
  <si>
    <t xml:space="preserve">Tourteau soja 46              </t>
  </si>
  <si>
    <t xml:space="preserve">Tourteau soja 48              </t>
  </si>
  <si>
    <t xml:space="preserve">Tourteau de colza             </t>
  </si>
  <si>
    <t xml:space="preserve">Tourteau de tournesol         </t>
  </si>
  <si>
    <t xml:space="preserve">Tourteau de lin               </t>
  </si>
  <si>
    <t xml:space="preserve">Tourteau de soja tanné        </t>
  </si>
  <si>
    <t xml:space="preserve">Urée                          </t>
  </si>
  <si>
    <t xml:space="preserve">VL 18% de MAT                 </t>
  </si>
  <si>
    <t xml:space="preserve">VL 22% de MAT                 </t>
  </si>
  <si>
    <t xml:space="preserve">VL 40% de MAT                 </t>
  </si>
  <si>
    <t xml:space="preserve">Aliment veaux                 </t>
  </si>
  <si>
    <t xml:space="preserve">Complémentaire broutards      </t>
  </si>
  <si>
    <t xml:space="preserve">Aliment BV 14% MAT            </t>
  </si>
  <si>
    <t xml:space="preserve">Aliment BV 27% de MAT         </t>
  </si>
  <si>
    <t xml:space="preserve">Aliment BV 40 % de MAT        </t>
  </si>
  <si>
    <t xml:space="preserve">Aliment Jeunes bovins         </t>
  </si>
  <si>
    <t xml:space="preserve">Céréales d'automne            </t>
  </si>
  <si>
    <t xml:space="preserve">Autres céréales d'automne     </t>
  </si>
  <si>
    <t xml:space="preserve">Avoine dhiver                </t>
  </si>
  <si>
    <t xml:space="preserve">Blé tendre                    </t>
  </si>
  <si>
    <t xml:space="preserve">Blé dur                       </t>
  </si>
  <si>
    <t xml:space="preserve">Méteil (céréales d'automne)   </t>
  </si>
  <si>
    <t xml:space="preserve">Orge hiver                    </t>
  </si>
  <si>
    <t xml:space="preserve">Sarrazin                      </t>
  </si>
  <si>
    <t xml:space="preserve">Seigle                        </t>
  </si>
  <si>
    <t xml:space="preserve">Triticale                     </t>
  </si>
  <si>
    <t xml:space="preserve">Epeautre                      </t>
  </si>
  <si>
    <t xml:space="preserve"> 90   </t>
  </si>
  <si>
    <t xml:space="preserve">Céréales de printemps         </t>
  </si>
  <si>
    <t xml:space="preserve">Autres céréales de printemps  </t>
  </si>
  <si>
    <t xml:space="preserve">Avoine de printemps           </t>
  </si>
  <si>
    <t xml:space="preserve">Maïs grain                    </t>
  </si>
  <si>
    <t xml:space="preserve">Méteil (céréales printemps)   </t>
  </si>
  <si>
    <t xml:space="preserve">Orge de printemps             </t>
  </si>
  <si>
    <t xml:space="preserve">Sorgho grain                  </t>
  </si>
  <si>
    <t xml:space="preserve">Oléagineux                    </t>
  </si>
  <si>
    <t xml:space="preserve">Colza                         </t>
  </si>
  <si>
    <t xml:space="preserve">Soja                          </t>
  </si>
  <si>
    <t xml:space="preserve">Tournesol                     </t>
  </si>
  <si>
    <t xml:space="preserve">Protéagineux                  </t>
  </si>
  <si>
    <t xml:space="preserve">Féverole de printemps         </t>
  </si>
  <si>
    <t xml:space="preserve">Féverole dautomne            </t>
  </si>
  <si>
    <t xml:space="preserve">Lupin de printemps            </t>
  </si>
  <si>
    <t xml:space="preserve">Lupin dhiver                 </t>
  </si>
  <si>
    <t xml:space="preserve">Pois                          </t>
  </si>
  <si>
    <t xml:space="preserve">Mélange Céréales Protéagineux </t>
  </si>
  <si>
    <t xml:space="preserve">Concentrés et Co-produits     </t>
  </si>
  <si>
    <t xml:space="preserve">Ration sèche                 </t>
  </si>
  <si>
    <t xml:space="preserve">Corn gluten feed             </t>
  </si>
  <si>
    <t xml:space="preserve">Drêches de brasserie sèches  </t>
  </si>
  <si>
    <t>Drêches de brasserie fraîches</t>
  </si>
  <si>
    <t xml:space="preserve">Drêches de maïs sèches       </t>
  </si>
  <si>
    <t xml:space="preserve">Son de blé                   </t>
  </si>
  <si>
    <t xml:space="preserve">Lactosérum                   </t>
  </si>
  <si>
    <t xml:space="preserve">Levures de bière             </t>
  </si>
  <si>
    <t xml:space="preserve">Luzerne déshydratée          </t>
  </si>
  <si>
    <t xml:space="preserve">Mélasse de betterave         </t>
  </si>
  <si>
    <t xml:space="preserve">Pulpe betteraves déshydratée </t>
  </si>
  <si>
    <t xml:space="preserve">Lactosérum acide             </t>
  </si>
  <si>
    <t xml:space="preserve">  7   </t>
  </si>
  <si>
    <t xml:space="preserve">Lactosérum doux              </t>
  </si>
  <si>
    <t xml:space="preserve">Maïs épis                    </t>
  </si>
  <si>
    <t xml:space="preserve"> 53   </t>
  </si>
  <si>
    <t xml:space="preserve">Maïs déshydraté              </t>
  </si>
  <si>
    <t xml:space="preserve">Pulpe de pommes de terre     </t>
  </si>
  <si>
    <t xml:space="preserve">Aliment fibreux 16%          </t>
  </si>
  <si>
    <t xml:space="preserve">Luzerne énergie 23%          </t>
  </si>
  <si>
    <t xml:space="preserve">Aliment fibreux 14%          </t>
  </si>
  <si>
    <t xml:space="preserve">Aliment sécheresse           </t>
  </si>
  <si>
    <t xml:space="preserve">Ration espagnole             </t>
  </si>
  <si>
    <t>VL 32% de mat</t>
  </si>
  <si>
    <t xml:space="preserve">Choux                         </t>
  </si>
  <si>
    <t xml:space="preserve"> 12,40</t>
  </si>
  <si>
    <t xml:space="preserve"> 12,70</t>
  </si>
  <si>
    <t xml:space="preserve">Sorgho fourrager              </t>
  </si>
  <si>
    <t xml:space="preserve">Céréales immatures            </t>
  </si>
  <si>
    <t xml:space="preserve"> 35   </t>
  </si>
  <si>
    <t xml:space="preserve">Foin de Crau                  </t>
  </si>
  <si>
    <t xml:space="preserve"> 85   </t>
  </si>
  <si>
    <t xml:space="preserve">Foin de luzerne               </t>
  </si>
  <si>
    <t xml:space="preserve">Foin de légumineuses          </t>
  </si>
  <si>
    <t>Foin Graminées et légumineuses</t>
  </si>
  <si>
    <t xml:space="preserve">Foin de graminées             </t>
  </si>
  <si>
    <t xml:space="preserve">Foin Prairie naturelle        </t>
  </si>
  <si>
    <t xml:space="preserve">Maïs en vert                  </t>
  </si>
  <si>
    <t xml:space="preserve">Moha                          </t>
  </si>
  <si>
    <t xml:space="preserve">Navets                        </t>
  </si>
  <si>
    <t xml:space="preserve">Raves                         </t>
  </si>
  <si>
    <t xml:space="preserve">Ration sèche                  </t>
  </si>
  <si>
    <t xml:space="preserve">Pulpes dagrumes déshydatées  </t>
  </si>
  <si>
    <t xml:space="preserve">Pulpe betteraves surpressée   </t>
  </si>
  <si>
    <t xml:space="preserve">Canne maïs ensilée            </t>
  </si>
  <si>
    <t xml:space="preserve">Canne maïs traitée amoniac    </t>
  </si>
  <si>
    <t xml:space="preserve"> 55   </t>
  </si>
  <si>
    <t xml:space="preserve">Drêches de brasserie sèches   </t>
  </si>
  <si>
    <t xml:space="preserve">Drêches de brasserie fraîches </t>
  </si>
  <si>
    <t xml:space="preserve"> 20   </t>
  </si>
  <si>
    <t xml:space="preserve">Fanes de pois et de haricots  </t>
  </si>
  <si>
    <t xml:space="preserve"> 86   </t>
  </si>
  <si>
    <t xml:space="preserve">Racines endives               </t>
  </si>
  <si>
    <t xml:space="preserve"> 14   </t>
  </si>
  <si>
    <t xml:space="preserve">Luzerne déshydratée           </t>
  </si>
  <si>
    <t xml:space="preserve"> 91   </t>
  </si>
  <si>
    <t xml:space="preserve">Mélange luzerne désy et foin  </t>
  </si>
  <si>
    <t xml:space="preserve">Déchets maïs doux             </t>
  </si>
  <si>
    <t xml:space="preserve">Marc raisin                   </t>
  </si>
  <si>
    <t xml:space="preserve">Marc de pommes déshydraté     </t>
  </si>
  <si>
    <t xml:space="preserve"> 94   </t>
  </si>
  <si>
    <t xml:space="preserve">Paille non traitée            </t>
  </si>
  <si>
    <t xml:space="preserve">Paille traitée ammoniac       </t>
  </si>
  <si>
    <t xml:space="preserve">Paille pois                   </t>
  </si>
  <si>
    <t xml:space="preserve">Pommes de retrait             </t>
  </si>
  <si>
    <t xml:space="preserve"> 15   </t>
  </si>
  <si>
    <t xml:space="preserve">Pommes de terre de retrait    </t>
  </si>
  <si>
    <t xml:space="preserve">Pulpe betteraves déshydratée  </t>
  </si>
  <si>
    <t xml:space="preserve"> 89   </t>
  </si>
  <si>
    <t xml:space="preserve">Drêches et pulpes de tomates  </t>
  </si>
  <si>
    <t xml:space="preserve"> 27   </t>
  </si>
  <si>
    <t xml:space="preserve">Spathes de maïs amoniac       </t>
  </si>
  <si>
    <t>Feuilles et collets betteraves</t>
  </si>
  <si>
    <t xml:space="preserve">Mélasse de betteraves         </t>
  </si>
  <si>
    <t xml:space="preserve"> 73   </t>
  </si>
  <si>
    <t xml:space="preserve">Vinasse mélasse de betteraves </t>
  </si>
  <si>
    <t xml:space="preserve"> 70   </t>
  </si>
  <si>
    <t xml:space="preserve">Co-prod. haricots verts cons. </t>
  </si>
  <si>
    <t xml:space="preserve"> 11   </t>
  </si>
  <si>
    <t xml:space="preserve">Co-prod. petits poids cons.   </t>
  </si>
  <si>
    <t xml:space="preserve">Drêches de blé fraîches       </t>
  </si>
  <si>
    <t xml:space="preserve"> 32   </t>
  </si>
  <si>
    <t xml:space="preserve">Drêches de maïs sèches        </t>
  </si>
  <si>
    <t xml:space="preserve">Maïs épis                     </t>
  </si>
  <si>
    <t xml:space="preserve">Maïs déshydraté               </t>
  </si>
  <si>
    <t xml:space="preserve">Paille porte graine graminées </t>
  </si>
  <si>
    <t xml:space="preserve">Paille porte graine légumi.   </t>
  </si>
  <si>
    <t xml:space="preserve">Pulpe de pommes de terre      </t>
  </si>
  <si>
    <t xml:space="preserve">Aliment fibreux 16%           </t>
  </si>
  <si>
    <t xml:space="preserve">Luzerne énergie 23%           </t>
  </si>
  <si>
    <t xml:space="preserve">Aliment fibreux 14%           </t>
  </si>
  <si>
    <t xml:space="preserve">Aliment sécheresse            </t>
  </si>
  <si>
    <t xml:space="preserve">Ration espagnole              </t>
  </si>
  <si>
    <t>mélasse de canne</t>
  </si>
  <si>
    <t>Betteraves fourragères</t>
  </si>
  <si>
    <t>Blé (azote défavorable)</t>
  </si>
  <si>
    <t>0.98</t>
  </si>
  <si>
    <t>Blé (azote favorable)</t>
  </si>
  <si>
    <t>Triticale AB (azote défavorable)</t>
  </si>
  <si>
    <t>Triticale AB (azote favorable)</t>
  </si>
  <si>
    <t>Tourteau de colza AB industriel</t>
  </si>
  <si>
    <t>Tourteau de soja 42 AB</t>
  </si>
  <si>
    <t>Blé_pois P (90% - 10 %) AB</t>
  </si>
  <si>
    <t>0.99</t>
  </si>
  <si>
    <t>Blé_pois P (70% - 30 %) AB</t>
  </si>
  <si>
    <t>1.01</t>
  </si>
  <si>
    <t>Blé_pois P (50% - 50 %) AB</t>
  </si>
  <si>
    <t>1.02</t>
  </si>
  <si>
    <t>Triticale_pois fourrager  (90% - 10 %) AB</t>
  </si>
  <si>
    <t>0.97</t>
  </si>
  <si>
    <t>Triticale_pois fourrager (70% - 30 %) AB</t>
  </si>
  <si>
    <t>Triticale_pois fourrager (50% - 50 %) AB</t>
  </si>
  <si>
    <t>Féverole Hiver AB</t>
  </si>
  <si>
    <t>Lupin Blanc AB</t>
  </si>
  <si>
    <t>1.13</t>
  </si>
  <si>
    <t>Pois protéagineux AB</t>
  </si>
  <si>
    <t>1.05</t>
  </si>
  <si>
    <t>Association triticale/pois fourrager % de pois = 10</t>
  </si>
  <si>
    <t>Association triticale/pois fourrager % de pois = 20</t>
  </si>
  <si>
    <t>Association triticale/pois fourrager % de pois = 30</t>
  </si>
  <si>
    <t>Association triticale/pois fourrager % de pois = 40</t>
  </si>
  <si>
    <t>Association triticale/pois fourrager % de pois = 50</t>
  </si>
  <si>
    <t>CEREALES ou PROTEAGINEUX AUTOCONSOMMES</t>
  </si>
  <si>
    <t>Catégorie</t>
  </si>
  <si>
    <t>Total Qx produits</t>
  </si>
  <si>
    <t>kg MAT / quintal</t>
  </si>
  <si>
    <t>Total MAT produit</t>
  </si>
  <si>
    <t>Blé</t>
  </si>
  <si>
    <t>Triticale</t>
  </si>
  <si>
    <t>Pois</t>
  </si>
  <si>
    <t>Fevrole</t>
  </si>
  <si>
    <t>Lupin</t>
  </si>
  <si>
    <t>TOTAL EXPLOITATION =</t>
  </si>
  <si>
    <t>Avoine</t>
  </si>
  <si>
    <t>Orge</t>
  </si>
  <si>
    <t>Total tonnage acheté</t>
  </si>
  <si>
    <t>Total MAT acheté</t>
  </si>
  <si>
    <t>kg MAT / tonne</t>
  </si>
  <si>
    <t>1 - Besoins en MAT du cheptel</t>
  </si>
  <si>
    <t xml:space="preserve">3 - Couverture des besoins en MAT par les aliments </t>
  </si>
  <si>
    <t>3.2 - Aliments achetés</t>
  </si>
  <si>
    <t>3.1 - Céréales ou protéagineux autoconsommés</t>
  </si>
  <si>
    <t>4 -Indicateurs et chiffres-clés du bilan MAT</t>
  </si>
  <si>
    <t xml:space="preserve">Besoins total en MAT (en kg/an) = </t>
  </si>
  <si>
    <t xml:space="preserve">Besoins en MAT par UGB (en kg/an) = </t>
  </si>
  <si>
    <t>Matières premières</t>
  </si>
  <si>
    <t>Quantité achetée (tonnes brutes)</t>
  </si>
  <si>
    <t>Teneur en matière sèche</t>
  </si>
  <si>
    <t>Quantité achetée (tonnes de matières séches)</t>
  </si>
  <si>
    <t>N</t>
  </si>
  <si>
    <t>P</t>
  </si>
  <si>
    <t>K</t>
  </si>
  <si>
    <t>Tonnes brutes</t>
  </si>
  <si>
    <t>%</t>
  </si>
  <si>
    <t>Tonne de MS</t>
  </si>
  <si>
    <t>kg / Tonne MS</t>
  </si>
  <si>
    <t xml:space="preserve">kg N </t>
  </si>
  <si>
    <t>kg P</t>
  </si>
  <si>
    <t>kg K</t>
  </si>
  <si>
    <t>Aliment Dindes</t>
  </si>
  <si>
    <t>Aliment Jeune Lapin (4/12 sem)</t>
  </si>
  <si>
    <t>Aliment Jeunes Bovins</t>
  </si>
  <si>
    <t>Aliment Lapine allaitante</t>
  </si>
  <si>
    <t>Aliment Pondeuses</t>
  </si>
  <si>
    <t xml:space="preserve">Aliment Porc Charcutier biphase </t>
  </si>
  <si>
    <t>Aliment Porc Charcutier Complément</t>
  </si>
  <si>
    <t>Aliment Porcelets 1er Age</t>
  </si>
  <si>
    <t>Aliment Porcelets 2ème Age</t>
  </si>
  <si>
    <t>Aliment Porcs Charcutiers standard</t>
  </si>
  <si>
    <t>Aliment Poulets/Pintades</t>
  </si>
  <si>
    <t>Aliment Poulettes</t>
  </si>
  <si>
    <t>Aliment Truies allaitantes</t>
  </si>
  <si>
    <t>Aliment Truies compl/céréales</t>
  </si>
  <si>
    <t>Aliment Truies gestantes</t>
  </si>
  <si>
    <t>Aliment Veaux</t>
  </si>
  <si>
    <t>Betterave fourragère</t>
  </si>
  <si>
    <t>Betteraves 1/2 sucrière</t>
  </si>
  <si>
    <t>Drèches de brasserie</t>
  </si>
  <si>
    <t>Endives</t>
  </si>
  <si>
    <t>Ensilage d'herbe (enrubanné)</t>
  </si>
  <si>
    <t>Fanes de pois</t>
  </si>
  <si>
    <t>Féverole</t>
  </si>
  <si>
    <t>Foin d'association graminée/légumineuse</t>
  </si>
  <si>
    <t>Foin graminées dominantes épiaison</t>
  </si>
  <si>
    <t>Foin graminées dominantes floraison</t>
  </si>
  <si>
    <t>Gluten feed</t>
  </si>
  <si>
    <t>Lactoserum</t>
  </si>
  <si>
    <t>Lin (graines)</t>
  </si>
  <si>
    <t>Lupin Blanc (Graines)</t>
  </si>
  <si>
    <t>Luzerne déshydratée 16</t>
  </si>
  <si>
    <t>Mais ensilage</t>
  </si>
  <si>
    <t>Mais grain</t>
  </si>
  <si>
    <t>Marc de pomme déshydraté</t>
  </si>
  <si>
    <t>Marc de raisin épépiné</t>
  </si>
  <si>
    <t>Mélange céréales-légumineuses</t>
  </si>
  <si>
    <t>Mélasse de cannes</t>
  </si>
  <si>
    <t>Mélasses de betteraves</t>
  </si>
  <si>
    <t>Paille</t>
  </si>
  <si>
    <t>Pois protéagineux</t>
  </si>
  <si>
    <t>Pommes de terre</t>
  </si>
  <si>
    <t>Poudre de lait</t>
  </si>
  <si>
    <t>Pulpes betteraves déshydratées/surpréssées</t>
  </si>
  <si>
    <t>Tourteau colza 35</t>
  </si>
  <si>
    <t>Tourteau lin</t>
  </si>
  <si>
    <t>Tourteau soja 44</t>
  </si>
  <si>
    <t>Tourteau soja 46</t>
  </si>
  <si>
    <t>Tourteau soja 48</t>
  </si>
  <si>
    <t>Tourteau soja tané</t>
  </si>
  <si>
    <t>Tourteau tournesol 35</t>
  </si>
  <si>
    <t>Urée</t>
  </si>
  <si>
    <t>Aliment VL 18</t>
  </si>
  <si>
    <t>Aliment VL 22</t>
  </si>
  <si>
    <t>Aliment VL 30</t>
  </si>
  <si>
    <t>Aliment VL 40</t>
  </si>
  <si>
    <t>Teneur MS %</t>
  </si>
  <si>
    <t>Kg N /tMS</t>
  </si>
  <si>
    <t>kg P / tMS</t>
  </si>
  <si>
    <t>kg K /tMS</t>
  </si>
  <si>
    <t>MAT</t>
  </si>
  <si>
    <t>Luzerne déshydratée 18</t>
  </si>
  <si>
    <t xml:space="preserve">Outils de calcul du Bilan apparent </t>
  </si>
  <si>
    <t>Adapté d'après F. Vertes  (INRA Quimper, version janvier 2005)</t>
  </si>
  <si>
    <t>ALIMENTS ACHETES (Bilan MAT et Bilan des Minéraux)</t>
  </si>
  <si>
    <t>ENGRAIS ACHETES (Bilan des Minéraux)</t>
  </si>
  <si>
    <t>K Chlorure de potasse</t>
  </si>
  <si>
    <t>K Patenkali</t>
  </si>
  <si>
    <t>K Sulfate de potasse</t>
  </si>
  <si>
    <t>N Cyanamide de chaux</t>
  </si>
  <si>
    <t>N Nitrate de chaux</t>
  </si>
  <si>
    <t>N Sulfate d'ammoniaque</t>
  </si>
  <si>
    <t>N Sulfonitrate</t>
  </si>
  <si>
    <t>N Urée - Perlurée</t>
  </si>
  <si>
    <t>NK Nitrate de Potasse</t>
  </si>
  <si>
    <t>NPK Engrais Ternaire 14-8-20</t>
  </si>
  <si>
    <t>P Scories Thomas</t>
  </si>
  <si>
    <t>P Super 18</t>
  </si>
  <si>
    <t>P Super 45</t>
  </si>
  <si>
    <t>N (kg/tonne)</t>
  </si>
  <si>
    <t>P (kg/tonne</t>
  </si>
  <si>
    <t>K (kg/tonne)</t>
  </si>
  <si>
    <t>N Ammonitrate 33,5</t>
  </si>
  <si>
    <t>N Ammonitrate 27</t>
  </si>
  <si>
    <t>PK Engrais Binaire 0-20-30</t>
  </si>
  <si>
    <t>N 
(kg/tonne)</t>
  </si>
  <si>
    <t>P 
(kg/tonne)</t>
  </si>
  <si>
    <t>K 
(kg/tonne)</t>
  </si>
  <si>
    <t>NP Phos. d'ammoniaque 18-46</t>
  </si>
  <si>
    <t>ENTREES ou SORTIES d'ENGRAIS ORGANIQUES (Bilan des Minéraux)</t>
  </si>
  <si>
    <t>Compost de déchets verts</t>
  </si>
  <si>
    <t>Compost fumier bovins &lt; 6 mois</t>
  </si>
  <si>
    <t>Compost fumier porc litière accumulée</t>
  </si>
  <si>
    <t>Compost fumier porc litière raclée</t>
  </si>
  <si>
    <t>Compost fumier volailles</t>
  </si>
  <si>
    <t>Fientes de poules (humides)</t>
  </si>
  <si>
    <t>Fumier de bovins viande</t>
  </si>
  <si>
    <t>Fumier de canards</t>
  </si>
  <si>
    <t>Fumier de cheval (pailleux)</t>
  </si>
  <si>
    <t>Fumier de lapins</t>
  </si>
  <si>
    <t>Fumier de pintades (après stockage)</t>
  </si>
  <si>
    <t>Fumier de pintades (sortie bâtiment)</t>
  </si>
  <si>
    <t>Fumier de porcs (truies gestantes)</t>
  </si>
  <si>
    <t>Fumier de poules repro (après stockage)</t>
  </si>
  <si>
    <t>Fumier de poules repro frais</t>
  </si>
  <si>
    <t>Fumier de poulets et dindes (après stockage)</t>
  </si>
  <si>
    <t>Fumier de poulets et dindes (sortie bâtiment)</t>
  </si>
  <si>
    <t>Fumier de poulets label et bio (après stockage)</t>
  </si>
  <si>
    <t>Fumier de poulets label frais</t>
  </si>
  <si>
    <t>Fumier de poulettes (après stockage)</t>
  </si>
  <si>
    <t>Fumier de poulettes frais</t>
  </si>
  <si>
    <t>Fumier de Veaux</t>
  </si>
  <si>
    <t>Fumier d'ovins, de caprins</t>
  </si>
  <si>
    <t>Lisier de bovins viande sur caillebotis</t>
  </si>
  <si>
    <t>Lisier de canards</t>
  </si>
  <si>
    <t>Lisier de lapins</t>
  </si>
  <si>
    <t>Lisier de porcs (engraissement concentré)</t>
  </si>
  <si>
    <t>Lisier de porcs (maternités, gestantes)</t>
  </si>
  <si>
    <t>Lisier de porcs (moyen dilué)</t>
  </si>
  <si>
    <t>Lisier de porcs (moyen non dilué)</t>
  </si>
  <si>
    <t>Lisier de porcs (préfosse d'engraissement)</t>
  </si>
  <si>
    <t>Lisier de poules pondeuses</t>
  </si>
  <si>
    <t>Lisier de Vache dilué: aire exercice découverte</t>
  </si>
  <si>
    <t>Lisier de Vache si fosse batiment ou caillebotis</t>
  </si>
  <si>
    <t>Lisier de Vache si logettes/raclé fosse extérieure</t>
  </si>
  <si>
    <t>Lisier de veaux de boucherie</t>
  </si>
  <si>
    <t>Lisier d'ovins</t>
  </si>
  <si>
    <t>Purins</t>
  </si>
  <si>
    <t>Compost de marc de raisin</t>
  </si>
  <si>
    <t>Compost déchets verts + fientes vol.</t>
  </si>
  <si>
    <t>Compost déchets verts + fumier de vol.</t>
  </si>
  <si>
    <t>Compost déchets verts + lisier de porc</t>
  </si>
  <si>
    <t>Eaux blanches + vertes + brunes</t>
  </si>
  <si>
    <t>Fientes de poules (après pré-séchage)</t>
  </si>
  <si>
    <t>Fientes de poules (après séchage rapide)</t>
  </si>
  <si>
    <t>Fumier de bovin mou (log. ou aire exercice)</t>
  </si>
  <si>
    <t>Fumier de dindes repro (après stockage)</t>
  </si>
  <si>
    <t>Fumier dindes futures repro (après stockage)</t>
  </si>
  <si>
    <t>Fumier de porcs (engr. sur litière accumulée)</t>
  </si>
  <si>
    <t>Fumier de porcs (engr. sur sciure)</t>
  </si>
  <si>
    <t>Fumier de Vaches (aire couchage paillée)</t>
  </si>
  <si>
    <t>Quantités entrant sur l'exploitation (t. ou m3)</t>
  </si>
  <si>
    <t>Quantités quittant l'exploitation (t. ou m3)</t>
  </si>
  <si>
    <t>Boues station épuration</t>
  </si>
  <si>
    <t>Surface (ha)</t>
  </si>
  <si>
    <t>Rendement moyen (tMS/ha)</t>
  </si>
  <si>
    <t>PT RG + Trèfle blanc</t>
  </si>
  <si>
    <t>Luzerne pure</t>
  </si>
  <si>
    <t>Trèfle violet pur</t>
  </si>
  <si>
    <t>Rendement moyen (qMF/ha)</t>
  </si>
  <si>
    <t>Pois de conserve</t>
  </si>
  <si>
    <t>Feverole</t>
  </si>
  <si>
    <t>haricot grain</t>
  </si>
  <si>
    <t>Haricot vert</t>
  </si>
  <si>
    <t>5-Surfaces en légumineuses (fixation symbiotique pour le Bilan des Minéraux)</t>
  </si>
  <si>
    <t>5.1 Légumineuses de prairies</t>
  </si>
  <si>
    <t>5.2 Cultures de légumineuses pures</t>
  </si>
  <si>
    <t>6-Entrées et sorties animaux et produits animaux (Bilan des Minéraux)</t>
  </si>
  <si>
    <t xml:space="preserve">Achats d'animaux </t>
  </si>
  <si>
    <t>Nombre achetés</t>
  </si>
  <si>
    <t>Poids unitaire (kg)</t>
  </si>
  <si>
    <t>Nombre</t>
  </si>
  <si>
    <t>kg</t>
  </si>
  <si>
    <t>Agneau</t>
  </si>
  <si>
    <t>Agnelle</t>
  </si>
  <si>
    <t>Brebis</t>
  </si>
  <si>
    <t>Broutard</t>
  </si>
  <si>
    <t>Chevaux</t>
  </si>
  <si>
    <t>Génisse pleine</t>
  </si>
  <si>
    <t>Taureau</t>
  </si>
  <si>
    <t>Vache laitière</t>
  </si>
  <si>
    <t>Veau de 8 jours</t>
  </si>
  <si>
    <t>Autre</t>
  </si>
  <si>
    <t>Types d'animaux</t>
  </si>
  <si>
    <t>Nombre 
vendus</t>
  </si>
  <si>
    <t>Poids unitaire achat (kg vif)</t>
  </si>
  <si>
    <t>Poids unitaire vente (kg vif)</t>
  </si>
  <si>
    <t>Bœufs</t>
  </si>
  <si>
    <t>Chèvre</t>
  </si>
  <si>
    <t>Chevreau</t>
  </si>
  <si>
    <t>Génisse (viande)</t>
  </si>
  <si>
    <t>Mouton</t>
  </si>
  <si>
    <t>Taurillon</t>
  </si>
  <si>
    <t>Truie de réforme</t>
  </si>
  <si>
    <t>Vbeau boucherie</t>
  </si>
  <si>
    <t xml:space="preserve">6.1 Animaux </t>
  </si>
  <si>
    <t>6.1 Production de lait</t>
  </si>
  <si>
    <t>Production de lait</t>
  </si>
  <si>
    <t>Quantité de lait</t>
  </si>
  <si>
    <t xml:space="preserve">TP </t>
  </si>
  <si>
    <t>litre</t>
  </si>
  <si>
    <t>(g/litre)</t>
  </si>
  <si>
    <t>Vache</t>
  </si>
  <si>
    <t>6-Sorties cultures de vente (Bilan des Minéraux)</t>
  </si>
  <si>
    <t>Avoine (grain)</t>
  </si>
  <si>
    <t>Blé (grain)</t>
  </si>
  <si>
    <t>Blé dur (grain)</t>
  </si>
  <si>
    <t>Chanvre (paille)</t>
  </si>
  <si>
    <t>Colza hiver (grain)</t>
  </si>
  <si>
    <t>Lupin Blanc (graines)</t>
  </si>
  <si>
    <t>Orge (grain)</t>
  </si>
  <si>
    <t>Pois protéagineux (grain)</t>
  </si>
  <si>
    <t>Sarrazin (grain)</t>
  </si>
  <si>
    <t>Seigle (grain)</t>
  </si>
  <si>
    <t>Semences (graminées)</t>
  </si>
  <si>
    <t>Triticale (grain)</t>
  </si>
  <si>
    <t>% MS</t>
  </si>
  <si>
    <t>Tonnes brutes vendues</t>
  </si>
  <si>
    <t xml:space="preserve">E1 - Entrée par engrais chimiques </t>
  </si>
  <si>
    <t>Type d'engrais</t>
  </si>
  <si>
    <t>Quantités utilisées</t>
  </si>
  <si>
    <t>P2O5</t>
  </si>
  <si>
    <t>K2O</t>
  </si>
  <si>
    <t>Source des données</t>
  </si>
  <si>
    <t>tonnes</t>
  </si>
  <si>
    <t>kg /1000 kg d'engrais</t>
  </si>
  <si>
    <t xml:space="preserve">kg </t>
  </si>
  <si>
    <t>TOTAL =</t>
  </si>
  <si>
    <t>Conversion</t>
  </si>
  <si>
    <t>TOTAL entrées NPK par engrais chimiques</t>
  </si>
  <si>
    <t xml:space="preserve">E2 - Entrée par engrais organiques </t>
  </si>
  <si>
    <t xml:space="preserve">Les engrais organiques achetés </t>
  </si>
  <si>
    <r>
      <t>tonnes ou m</t>
    </r>
    <r>
      <rPr>
        <vertAlign val="superscript"/>
        <sz val="10"/>
        <rFont val="Arial"/>
        <family val="2"/>
      </rPr>
      <t>3</t>
    </r>
  </si>
  <si>
    <t xml:space="preserve">kg N/m3 ou kg N /tonnes </t>
  </si>
  <si>
    <t xml:space="preserve">kg P2O5/m3 ou kg P2O5/tonnes </t>
  </si>
  <si>
    <t xml:space="preserve">kg K2O/m3 ou kg K2O/tonnes </t>
  </si>
  <si>
    <t>TOTAL entrées NPK par engrais organiques</t>
  </si>
  <si>
    <t>E3 - Entrée d'azote atmosphérique par les légumineuses</t>
  </si>
  <si>
    <t>E3.1 - Légumineuse de prairie</t>
  </si>
  <si>
    <t>RG - Trèfle blanc</t>
  </si>
  <si>
    <t>RG + autres légumineuses (trèfle violet, vesce, lotier)</t>
  </si>
  <si>
    <t>%Legumineuse</t>
  </si>
  <si>
    <t>PT Gram+Leg**</t>
  </si>
  <si>
    <t>tonnes MS/ha</t>
  </si>
  <si>
    <t>N fixé/tMS trèfle</t>
  </si>
  <si>
    <t>kg N/tMS trèfle</t>
  </si>
  <si>
    <t xml:space="preserve">Azote fixé </t>
  </si>
  <si>
    <t>kg N/ha</t>
  </si>
  <si>
    <t>Surface PT Gram+Leg**</t>
  </si>
  <si>
    <t>Azote total fixé</t>
  </si>
  <si>
    <t>% moyen de légumineuses</t>
  </si>
  <si>
    <t>PT RG + autres légumineuses (trèfle violet, vesce, lotier)</t>
  </si>
  <si>
    <t>E3.2 - Culture de légumineuses pures</t>
  </si>
  <si>
    <t>rendement  %</t>
  </si>
  <si>
    <t xml:space="preserve">Surface </t>
  </si>
  <si>
    <t>N fixé/tMS</t>
  </si>
  <si>
    <t>tMS/ha</t>
  </si>
  <si>
    <t>kg N/tMS</t>
  </si>
  <si>
    <t>Luzerne</t>
  </si>
  <si>
    <t xml:space="preserve">Total </t>
  </si>
  <si>
    <t>N fixé/tMF</t>
  </si>
  <si>
    <t>q MF/ha</t>
  </si>
  <si>
    <t xml:space="preserve">kg N/q MF </t>
  </si>
  <si>
    <t>kg N</t>
  </si>
  <si>
    <t>Total légumineuse pures</t>
  </si>
  <si>
    <t xml:space="preserve">rendement </t>
  </si>
  <si>
    <t>E4 - Entrée par les aliments</t>
  </si>
  <si>
    <t>TOTAL entrées NPK par aliments =</t>
  </si>
  <si>
    <t>Total N fixé par légumineuses</t>
  </si>
  <si>
    <t>E5 - Entrée par les animaux</t>
  </si>
  <si>
    <t>kg N/tonnes</t>
  </si>
  <si>
    <t>kg P/tonnes</t>
  </si>
  <si>
    <t>kg K/tonnes</t>
  </si>
  <si>
    <t>TOTAL entrées NPK par achats animaux =</t>
  </si>
  <si>
    <t>S1 - Sortie par les engrais organiques</t>
  </si>
  <si>
    <t>Type d'effluents</t>
  </si>
  <si>
    <t>Quantités quittant l'exploitation</t>
  </si>
  <si>
    <t>(tonnes ou m3)</t>
  </si>
  <si>
    <t>Quantités entrant sur l'exploitation</t>
  </si>
  <si>
    <t>TOTAL sorties NPK par engrais organiques</t>
  </si>
  <si>
    <t>S2 - Sortie par les végétaux</t>
  </si>
  <si>
    <t>Cultures</t>
  </si>
  <si>
    <t>Quantité vendue</t>
  </si>
  <si>
    <t>TOTAL sorties NPK par ventes de végétaux =</t>
  </si>
  <si>
    <t>kg / 1000l</t>
  </si>
  <si>
    <t>TOTAL sorties NPK par ventes de Lait =</t>
  </si>
  <si>
    <t xml:space="preserve">S3 - Sortie par le lait </t>
  </si>
  <si>
    <t>S4 - Sorties par les animaux</t>
  </si>
  <si>
    <t>Vente de viande</t>
  </si>
  <si>
    <t>Nombre vendus</t>
  </si>
  <si>
    <t>Nombre/an</t>
  </si>
  <si>
    <t>TOTAL sorties NPK par vente d'animaux =</t>
  </si>
  <si>
    <t>Entrées</t>
  </si>
  <si>
    <t xml:space="preserve">E1 - Engrais chimiques </t>
  </si>
  <si>
    <t xml:space="preserve">E2 - Engrais organiques </t>
  </si>
  <si>
    <t>E3 - Azote atmosphérique par les légumineuses</t>
  </si>
  <si>
    <t>E4 - Aliments</t>
  </si>
  <si>
    <t>E5 - Animaux</t>
  </si>
  <si>
    <t>Total entrées</t>
  </si>
  <si>
    <t>Sorties</t>
  </si>
  <si>
    <t>S1 - Engrais organiques</t>
  </si>
  <si>
    <t>S2 - Végétaux</t>
  </si>
  <si>
    <t xml:space="preserve">S4 - Lait </t>
  </si>
  <si>
    <t>S5 - Animaux</t>
  </si>
  <si>
    <t>Total sorties</t>
  </si>
  <si>
    <t>SAU (ha)</t>
  </si>
  <si>
    <t>kg N /ha SAU</t>
  </si>
  <si>
    <t>kg P/ha SAU</t>
  </si>
  <si>
    <t>kg K/ha SAU</t>
  </si>
  <si>
    <t>Solde du bilan avec achats engrais minéraux</t>
  </si>
  <si>
    <t>Solde du bilan sans les achats d'engrais minéraux</t>
  </si>
  <si>
    <t>1 - Utilisation des concentrés par le troupeau lait</t>
  </si>
  <si>
    <t>TOTAL concentrés utilisé par VL (tonnes)</t>
  </si>
  <si>
    <t>Volume lait produit par VL</t>
  </si>
  <si>
    <t>Concentré utilisé en g/litre lait VL</t>
  </si>
  <si>
    <t>2 - Bilan des UFL concentrés produits sur l'exploitation</t>
  </si>
  <si>
    <t>Tonnage</t>
  </si>
  <si>
    <t>concentrés autoconsommés</t>
  </si>
  <si>
    <t>Total UFL</t>
  </si>
  <si>
    <t>valeur UFL / kg brut</t>
  </si>
  <si>
    <t>TOTAL UFL autoconsommé =</t>
  </si>
  <si>
    <t>concentrés et aliments achetés</t>
  </si>
  <si>
    <t>type (C concentré F fourrage)</t>
  </si>
  <si>
    <t>C</t>
  </si>
  <si>
    <t>F</t>
  </si>
  <si>
    <t>Type 
(C concentré 
F fourrages)</t>
  </si>
  <si>
    <t>Total UFL concentrés</t>
  </si>
  <si>
    <t>TOTAL UFL =</t>
  </si>
  <si>
    <t>TOTAL concentrés utilisé =</t>
  </si>
  <si>
    <t>dont acheté =</t>
  </si>
  <si>
    <t>dont autoconsommé =</t>
  </si>
  <si>
    <t>Niveau autonomie UFL concentrés =</t>
  </si>
  <si>
    <t xml:space="preserve">MAT produite par les fourrages de l'exploitation = </t>
  </si>
  <si>
    <t xml:space="preserve">MAT produite par les aliments autoconsommés = </t>
  </si>
  <si>
    <t xml:space="preserve">MAT produite par les aliments achetés = </t>
  </si>
  <si>
    <t xml:space="preserve">Niveau d'autonomie protéique par les fourrages produits sur l'exploitation = </t>
  </si>
  <si>
    <t xml:space="preserve">Niveau d'autonomie protéique par les fourrages + les aliments autoconsommés de l'exploitation = </t>
  </si>
  <si>
    <t>Indicateurs et Chiffres clés du Bilan des minéraux</t>
  </si>
  <si>
    <t>Indicateurs et chiffres clés de l'utilisation des concentrés et de l'autonomie énergétique (concentrés)</t>
  </si>
  <si>
    <t>Guide d'interprétation (d'après CAP2ER - Retrait des dépôts N atmosphériques : -10 kgN/ha sur le bilan/CAP2ER)</t>
  </si>
  <si>
    <t>Kg N/ha SAU</t>
  </si>
  <si>
    <t>Kg P/ha SAU</t>
  </si>
  <si>
    <t>Kg K/ha SAU</t>
  </si>
  <si>
    <t>&lt;40</t>
  </si>
  <si>
    <t>0-20</t>
  </si>
  <si>
    <t>0-40</t>
  </si>
  <si>
    <t>40-90</t>
  </si>
  <si>
    <t>20-40</t>
  </si>
  <si>
    <t>40-60</t>
  </si>
  <si>
    <t>90-140</t>
  </si>
  <si>
    <t>&gt;40</t>
  </si>
  <si>
    <t>&gt;60</t>
  </si>
  <si>
    <t>&gt;140</t>
  </si>
  <si>
    <t>TROUPEAU BOVIN VIANDE (races à viande)</t>
  </si>
  <si>
    <t>TROUPEAU BOVIN VIANDE (races rustiques)</t>
  </si>
  <si>
    <t>TROUPEAU OVIN VIANDE</t>
  </si>
  <si>
    <t>Béliers</t>
  </si>
  <si>
    <t>Brebis + agneau</t>
  </si>
  <si>
    <t>Agnelles</t>
  </si>
  <si>
    <t>TROUPEAU OVIN LAIT</t>
  </si>
  <si>
    <t>TROUPEAU CAPRIN LAIT</t>
  </si>
  <si>
    <t>Boucs</t>
  </si>
  <si>
    <t>Chevrettes</t>
  </si>
  <si>
    <t>(**) y compris céréales et/ou méteil grain autoconsommées</t>
  </si>
  <si>
    <r>
      <t xml:space="preserve">Total surface dérobée fauchée 1ère coupe 
</t>
    </r>
    <r>
      <rPr>
        <i/>
        <sz val="11"/>
        <color theme="1"/>
        <rFont val="Calibri"/>
        <family val="2"/>
        <scheme val="minor"/>
      </rPr>
      <t xml:space="preserve">(RGI, méteil précoce avant maïs) = </t>
    </r>
  </si>
  <si>
    <r>
      <t xml:space="preserve">Total surface herbe fauchées 1ère coupe 
</t>
    </r>
    <r>
      <rPr>
        <i/>
        <sz val="11"/>
        <color theme="1"/>
        <rFont val="Calibri"/>
        <family val="2"/>
        <scheme val="minor"/>
      </rPr>
      <t>(hors dérobées type RGI ou méteil précoce)</t>
    </r>
    <r>
      <rPr>
        <sz val="11"/>
        <color theme="1"/>
        <rFont val="Calibri"/>
        <family val="2"/>
        <scheme val="minor"/>
      </rPr>
      <t xml:space="preserve"> =  </t>
    </r>
  </si>
  <si>
    <t xml:space="preserve">Ha Autre n4 = </t>
  </si>
  <si>
    <t>Bottes foin ou regain n1</t>
  </si>
  <si>
    <t>Bottes foin ou regain n2</t>
  </si>
  <si>
    <t>Bottes enrubannage n1</t>
  </si>
  <si>
    <t>Bottes enrubannage n2</t>
  </si>
  <si>
    <t>Maïs-Sorgho ensilage</t>
  </si>
  <si>
    <t>Tonnage total concentrés AUTOCONSOMMES =</t>
  </si>
  <si>
    <t>dont concentrés autoconsommés utilisés par les Vaches Lait =</t>
  </si>
  <si>
    <t>dont concentrés autoconsommés utilisés par les Brebis Lait =</t>
  </si>
  <si>
    <t>dont concentrés autoconsommés utilisés par les Chèvres Lait =</t>
  </si>
  <si>
    <t>Catégorie
(menus déroulants)</t>
  </si>
  <si>
    <t>tonnage concentré acheté</t>
  </si>
  <si>
    <t>dont concentrés achetés utilisés par les Vaches Lait =</t>
  </si>
  <si>
    <t>dont concentrés achetés utilisés par les Brebis Lait =</t>
  </si>
  <si>
    <t>dont concentrés achetés utilisés par les Chèvres Lait =</t>
  </si>
  <si>
    <t>Tonnage total aliments ACHETES =</t>
  </si>
  <si>
    <t>dont aliments concentrés ACHETES =</t>
  </si>
  <si>
    <t>Veau boucherie</t>
  </si>
  <si>
    <t>Taureaux RV</t>
  </si>
  <si>
    <t>Taureaux RR</t>
  </si>
  <si>
    <t>Vaches laitières 9000</t>
  </si>
  <si>
    <t>Autres fourrages (hors dérobées) (****)=</t>
  </si>
  <si>
    <t>(****) exemple : Betteraves Fourragères, Méteil immature</t>
  </si>
  <si>
    <t>Maïs - Sorgho ensilage (***) =</t>
  </si>
  <si>
    <t>(***) sorgho monocoupe non dérobé</t>
  </si>
  <si>
    <t xml:space="preserve">Total surface herbe fauchées 2ème coupe = </t>
  </si>
  <si>
    <r>
      <t xml:space="preserve">Total autres surfaces dérobées d'été  
</t>
    </r>
    <r>
      <rPr>
        <i/>
        <sz val="11"/>
        <color theme="1"/>
        <rFont val="Calibri"/>
        <family val="2"/>
        <scheme val="minor"/>
      </rPr>
      <t xml:space="preserve">(sorgho multi coupe, moha, colza...) = </t>
    </r>
  </si>
  <si>
    <t xml:space="preserve">Total autes sufaces récoltées = </t>
  </si>
  <si>
    <t>dont dérobées printemps (RGI-méteil) =</t>
  </si>
  <si>
    <t>dont dérobées été (sorgho-moha) =</t>
  </si>
  <si>
    <t>dont  récoltés =</t>
  </si>
  <si>
    <t>dont pâturées =</t>
  </si>
  <si>
    <t xml:space="preserve">Total surface herbe fauchées C3 et + =  </t>
  </si>
  <si>
    <t>dont herbe C3 et + =</t>
  </si>
  <si>
    <t>% 1ère coupe / Surface en Herbe (hors dérobées) =</t>
  </si>
  <si>
    <t>% surface dérobée / total récolte (hors maïs) =</t>
  </si>
  <si>
    <t xml:space="preserve">dont Ha maïs-sorgho monocoupe = </t>
  </si>
  <si>
    <t>Vaches Allaitantes (sans le veau)</t>
  </si>
  <si>
    <t>Génisses élevage moins d'un an</t>
  </si>
  <si>
    <t>Génisses élevage de + de 2 ans</t>
  </si>
  <si>
    <t>Génisses élevage de 1 à 2 ans</t>
  </si>
  <si>
    <t>Broutards (mâle, femelle) de moins d'un an</t>
  </si>
  <si>
    <t>mâle maigre de 1 à 2 ans (castré ou non)</t>
  </si>
  <si>
    <t>Châtron 2 à 3 ans</t>
  </si>
  <si>
    <t>Châtron +  de 3 ans</t>
  </si>
  <si>
    <t>Vaches Allaitantes (sans le veau) RV</t>
  </si>
  <si>
    <t>Génisses élevage de + de 2 ans RV</t>
  </si>
  <si>
    <t>Génisses élevage de 1 à 2 ans RV</t>
  </si>
  <si>
    <t>Génisses élevage moins d'un an RV</t>
  </si>
  <si>
    <t>Broutards (mâle, femelle) de moins d'un an RV</t>
  </si>
  <si>
    <t>mâle maigre de 1 à 2 ans (castré ou non) RV</t>
  </si>
  <si>
    <t>Châtron 2 à 3 ans RV</t>
  </si>
  <si>
    <t>Châtron +  de 3 ans RV</t>
  </si>
  <si>
    <t>Taurillon RV</t>
  </si>
  <si>
    <t>Vaches Allaitantes (sans le veau) RR</t>
  </si>
  <si>
    <t>Génisses élevage de + de 2 ans RR</t>
  </si>
  <si>
    <t>Génisses élevage de 1 à 2 ans RR</t>
  </si>
  <si>
    <t>Génisses élevage moins d'un an RR</t>
  </si>
  <si>
    <t>Broutards (mâle, femelle) de moins d'un an RR</t>
  </si>
  <si>
    <t>mâle maigre de 1 à 2 ans (castré ou non) RR</t>
  </si>
  <si>
    <t>Châtron 2 à 3 ans RR</t>
  </si>
  <si>
    <t>Châtron +  de 3 ans RR</t>
  </si>
  <si>
    <t>Taurillon RR</t>
  </si>
  <si>
    <t>Sources CasDar "Praicos" 2015</t>
  </si>
  <si>
    <t>Brebis Lacaune</t>
  </si>
  <si>
    <t>Brebis Basco-Béarnaise</t>
  </si>
  <si>
    <t xml:space="preserve">Brebis Manech ou Corse </t>
  </si>
  <si>
    <t>Agnelles &lt; 6 mois</t>
  </si>
  <si>
    <t>Béliers &lt; 6 mois</t>
  </si>
  <si>
    <t>Béliers &gt; 6 mois</t>
  </si>
  <si>
    <t>Chèvres lait</t>
  </si>
  <si>
    <t>Chevreaux</t>
  </si>
  <si>
    <t>TOTAL concentrés utilisé par OL (tonnes)</t>
  </si>
  <si>
    <t>Volume lait produit par OL</t>
  </si>
  <si>
    <t>Concentré utilisé en g/litre lait OL</t>
  </si>
  <si>
    <t>TOTAL concentrés utilisé par CL (tonnes)</t>
  </si>
  <si>
    <t>Volume lait produit par CL</t>
  </si>
  <si>
    <t>Concentré utilisé en g/litre lait CL</t>
  </si>
  <si>
    <t xml:space="preserve">                 Repères de surfaces à faucher et à pâturer en élevage laitier et mixte </t>
  </si>
  <si>
    <t>Dans un premier temps on choisit le tableau concernant la zone dans laquelle on se trouve. Pour étudier la cohérence d'un système fourrager, les 2 principaux critères sont le chargement et la quantité de fourrages que l'on souhaite récolter par UGB. 
Il est important de savoir que ces chiffres ne sont que des repères pour se situer. On peut ensuite réajuster le conseil en fonction de son cas. Par exemple j'ai moins de surfaces fauchées en 1ère coupe que dans le système repère mais plus de 2ème coupe alors mon système peut être cohérent.</t>
  </si>
  <si>
    <t>1 Zone volcanique tout herbe, système foin (ACS+DOMES)</t>
  </si>
  <si>
    <t>Chargement annuel (UGB/haSFP)</t>
  </si>
  <si>
    <t>Fourrages récoltés (TMS/UGB)</t>
  </si>
  <si>
    <t>Ares pâturés au printemps/UGB</t>
  </si>
  <si>
    <t>Ares de la surf en herbe fauchés/UGB</t>
  </si>
  <si>
    <t>%1èreC/Surf en herbe</t>
  </si>
  <si>
    <t xml:space="preserve">%2èmeC/1èreC </t>
  </si>
  <si>
    <t>rendement foin 1ère C</t>
  </si>
  <si>
    <t xml:space="preserve">rendement 2ème C </t>
  </si>
  <si>
    <t>Nminéral moyen apporté</t>
  </si>
  <si>
    <t>2 Zone volcanique tout herbe, système ensilage+foin (ACS+DOMES)</t>
  </si>
  <si>
    <t>rendement ensilage 1ère Coupe</t>
  </si>
  <si>
    <t>rendement 2ème C (derrière ensilage)</t>
  </si>
  <si>
    <t>3 Zone volcanique tout herbe, système enrubannage+foin (ACS+DOMES)</t>
  </si>
  <si>
    <t>rendement 1ère C</t>
  </si>
  <si>
    <t xml:space="preserve">rendement 2 ème C </t>
  </si>
  <si>
    <t>Attention au printemps compter parmi les surfaces fanées, quelques hectares déprimés</t>
  </si>
  <si>
    <t>4 Zone granitique d'altitude, système ensilage+ foin (FOREZ)</t>
  </si>
  <si>
    <t>5 Zone intermédiaire à maïs possible</t>
  </si>
  <si>
    <t>Pour faire ce tableau on a considéré qu'il y avait 14 ares/UGB de maïs dans les systèmes à 1 de chargement et 
15 ares/UGB de maïs dans les systèmes à 1,2 de chargement. Selon si j'en ai plus ou moins dans mon système je réajuste mon conseil. Par exemple si je n'ai que 10 ares/UGB de maïs alors il me faut plus de surfaces en herbe fauchées que dans le tableau ci dessous. Le rendement en maïs est pris ici à 9 TMS/ha.</t>
  </si>
  <si>
    <t>rendement 1ère C herbe</t>
  </si>
  <si>
    <t>rendement 2ème C herbe</t>
  </si>
  <si>
    <t>N minéral moyen apporté (herbe+maïs)</t>
  </si>
  <si>
    <t>Document de travail, réalisé à partir du référentiel fourrager des réseaux d'élevage Auvergne Lozère</t>
  </si>
  <si>
    <t>Pour l'interprétation de ces critères, 
se reporter à la feuille
 "Référentiel Fourrager"</t>
  </si>
  <si>
    <t>Printemps</t>
  </si>
  <si>
    <t>Été</t>
  </si>
  <si>
    <t>Automne</t>
  </si>
  <si>
    <t>Pâture</t>
  </si>
  <si>
    <t>Fauche</t>
  </si>
  <si>
    <t>Maïs</t>
  </si>
  <si>
    <t>Culture</t>
  </si>
  <si>
    <t>autre fourrage</t>
  </si>
  <si>
    <t>Solde du bilan avec achats engrais minéraux / ha SAU</t>
  </si>
  <si>
    <t>Solde du bilan sans les achats d'engrais minéraux / ha SAU</t>
  </si>
  <si>
    <t>Dérobées</t>
  </si>
  <si>
    <t xml:space="preserve">         </t>
  </si>
  <si>
    <t>Semences</t>
  </si>
  <si>
    <t>Engrais-amendements</t>
  </si>
  <si>
    <t>Traitements phytos</t>
  </si>
  <si>
    <t>Divers Fournitures surf four (bâche, ficelles,,,)</t>
  </si>
  <si>
    <t>Stock début</t>
  </si>
  <si>
    <t>Stocks fin</t>
  </si>
  <si>
    <t>Achats</t>
  </si>
  <si>
    <t>Total Coûts appros</t>
  </si>
  <si>
    <t>Minéraux achetés</t>
  </si>
  <si>
    <t>Aliments Concentrés achetés</t>
  </si>
  <si>
    <t>Aliments lactés</t>
  </si>
  <si>
    <t>Divers Autres aliments</t>
  </si>
  <si>
    <t>Céréales autoconsommées</t>
  </si>
  <si>
    <t>A - Coût des approvisionnements des surfaces utilisées pour nourrir le troupeau</t>
  </si>
  <si>
    <t>TOTAL (A)</t>
  </si>
  <si>
    <t>C - Coût des fourrages et co-produits achetés pour le troupeau</t>
  </si>
  <si>
    <t>B - Coût des concentrés et minéraux consommés par le troupeau</t>
  </si>
  <si>
    <t>TOTAL (C)</t>
  </si>
  <si>
    <t>Fourrages grossiers, paille</t>
  </si>
  <si>
    <t>P - Production atelier animal</t>
  </si>
  <si>
    <t xml:space="preserve">   Bovin lait P = litres de lait vendu / 1000</t>
  </si>
  <si>
    <t xml:space="preserve">   Caprin lait P = litres de lait vendu / 1000</t>
  </si>
  <si>
    <t xml:space="preserve">   Ovin viande P = kg de carcasse d'agneau / 100</t>
  </si>
  <si>
    <t xml:space="preserve">   Bovin viande P = kg de viande vive / 100</t>
  </si>
  <si>
    <t>Prod, vendue</t>
  </si>
  <si>
    <t>COUT ALIMENTAIRE (A+B+C) / P</t>
  </si>
  <si>
    <t xml:space="preserve">  Bovin lait</t>
  </si>
  <si>
    <t xml:space="preserve">  Bovin viande</t>
  </si>
  <si>
    <t xml:space="preserve">  Ovin viande</t>
  </si>
  <si>
    <t xml:space="preserve">  Caprin lait</t>
  </si>
  <si>
    <t>ATELIER BOVIN LAIT</t>
  </si>
  <si>
    <t>ATELIER BOVIN VIANDE</t>
  </si>
  <si>
    <t>ATELIER OVIN VIANDE</t>
  </si>
  <si>
    <t>ATELIER CAPRIN LAIT</t>
  </si>
  <si>
    <t>TOTAL (B)</t>
  </si>
  <si>
    <t xml:space="preserve"> / 1000 l</t>
  </si>
  <si>
    <t xml:space="preserve"> / 100 kg vv</t>
  </si>
  <si>
    <t xml:space="preserve"> / 100 kg cc</t>
  </si>
  <si>
    <t>rt</t>
  </si>
  <si>
    <t>dont fourrages achetés utilisés =</t>
  </si>
  <si>
    <t>Coupes en C3 et C4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</si>
</sst>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0\ &quot;€&quot;_-;\-* #,##0\ &quot;€&quot;_-;_-* &quot;-&quot;\ &quot;€&quot;_-;_-@_-"/>
    <numFmt numFmtId="164" formatCode="0.0"/>
    <numFmt numFmtId="165" formatCode="0.0%"/>
    <numFmt numFmtId="166" formatCode="#,##0.0"/>
    <numFmt numFmtId="167" formatCode="#,##0.00\ &quot;€&quot;"/>
  </numFmts>
  <fonts count="36"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scheme val="minor"/>
    </font>
    <font>
      <b/>
      <sz val="12"/>
      <color theme="1"/>
      <name val="Calibri"/>
      <family val="2"/>
      <scheme val="minor"/>
    </font>
    <font>
      <b/>
      <i/>
      <sz val="11"/>
      <color theme="1"/>
      <name val="Calibri"/>
      <family val="2"/>
      <scheme val="minor"/>
    </font>
    <font>
      <i/>
      <sz val="11"/>
      <name val="Calibri"/>
      <family val="2"/>
      <scheme val="minor"/>
    </font>
    <font>
      <b/>
      <sz val="11"/>
      <color theme="1"/>
      <name val="Verdana"/>
      <family val="2"/>
    </font>
    <font>
      <sz val="11"/>
      <color theme="1"/>
      <name val="Verdana"/>
      <family val="2"/>
    </font>
    <font>
      <i/>
      <sz val="11"/>
      <color theme="1"/>
      <name val="Verdana"/>
      <family val="2"/>
    </font>
    <font>
      <sz val="10"/>
      <color theme="1"/>
      <name val="Verdana"/>
      <family val="2"/>
    </font>
    <font>
      <sz val="10"/>
      <name val="Arial"/>
      <family val="2"/>
    </font>
    <font>
      <b/>
      <sz val="14"/>
      <name val="Arial"/>
      <family val="2"/>
    </font>
    <font>
      <b/>
      <i/>
      <sz val="11"/>
      <color theme="1"/>
      <name val="Verdana"/>
      <family val="2"/>
    </font>
    <font>
      <b/>
      <i/>
      <sz val="12"/>
      <color theme="1"/>
      <name val="Calibri"/>
      <family val="2"/>
      <scheme val="minor"/>
    </font>
    <font>
      <sz val="12"/>
      <color theme="1"/>
      <name val="Calibri"/>
      <family val="2"/>
      <scheme val="minor"/>
    </font>
    <font>
      <b/>
      <sz val="10"/>
      <color indexed="8"/>
      <name val="Arial"/>
      <family val="2"/>
    </font>
    <font>
      <sz val="10"/>
      <color indexed="8"/>
      <name val="Arial"/>
      <family val="2"/>
    </font>
    <font>
      <sz val="10"/>
      <name val="MS Sans Serif"/>
      <family val="2"/>
    </font>
    <font>
      <sz val="10"/>
      <name val="Verdana"/>
      <family val="2"/>
    </font>
    <font>
      <sz val="10"/>
      <color indexed="8"/>
      <name val="Verdana"/>
      <family val="2"/>
    </font>
    <font>
      <b/>
      <sz val="10"/>
      <name val="Arial"/>
      <family val="2"/>
    </font>
    <font>
      <b/>
      <sz val="16"/>
      <name val="Arial"/>
      <family val="2"/>
    </font>
    <font>
      <i/>
      <sz val="10"/>
      <color indexed="10"/>
      <name val="Arial"/>
      <family val="2"/>
    </font>
    <font>
      <sz val="10"/>
      <color indexed="10"/>
      <name val="Arial"/>
      <family val="2"/>
    </font>
    <font>
      <vertAlign val="superscript"/>
      <sz val="10"/>
      <name val="Arial"/>
      <family val="2"/>
    </font>
    <font>
      <b/>
      <i/>
      <sz val="10"/>
      <color theme="1"/>
      <name val="Verdana"/>
      <family val="2"/>
    </font>
    <font>
      <i/>
      <sz val="10"/>
      <name val="Arial Black"/>
      <family val="2"/>
    </font>
    <font>
      <b/>
      <sz val="12"/>
      <name val="Arial"/>
      <family val="2"/>
    </font>
    <font>
      <sz val="12"/>
      <name val="Arial"/>
      <family val="2"/>
    </font>
    <font>
      <sz val="10"/>
      <color rgb="FFFF0000"/>
      <name val="Arial"/>
      <family val="2"/>
    </font>
    <font>
      <sz val="11"/>
      <color theme="1"/>
      <name val="Calibri"/>
      <family val="2"/>
      <scheme val="minor"/>
    </font>
    <font>
      <b/>
      <i/>
      <sz val="12"/>
      <name val="Arial"/>
      <family val="2"/>
    </font>
    <font>
      <b/>
      <u/>
      <sz val="12"/>
      <name val="Arial"/>
      <family val="2"/>
    </font>
    <font>
      <b/>
      <i/>
      <sz val="10"/>
      <name val="Arial"/>
      <family val="2"/>
    </font>
    <font>
      <u/>
      <sz val="11"/>
      <color theme="1"/>
      <name val="Calibri"/>
      <family val="2"/>
      <scheme val="minor"/>
    </font>
  </fonts>
  <fills count="27">
    <fill>
      <patternFill patternType="none"/>
    </fill>
    <fill>
      <patternFill patternType="gray125"/>
    </fill>
    <fill>
      <patternFill patternType="solid">
        <fgColor rgb="FF99FFCC"/>
        <bgColor indexed="64"/>
      </patternFill>
    </fill>
    <fill>
      <patternFill patternType="solid">
        <fgColor rgb="FFFFC000"/>
        <bgColor indexed="64"/>
      </patternFill>
    </fill>
    <fill>
      <patternFill patternType="solid">
        <fgColor rgb="FFFFFF00"/>
        <bgColor indexed="64"/>
      </patternFill>
    </fill>
    <fill>
      <patternFill patternType="solid">
        <fgColor rgb="FFFFCCFF"/>
        <bgColor indexed="64"/>
      </patternFill>
    </fill>
    <fill>
      <patternFill patternType="solid">
        <fgColor rgb="FFFFCCCC"/>
        <bgColor indexed="64"/>
      </patternFill>
    </fill>
    <fill>
      <patternFill patternType="darkUp">
        <fgColor theme="1"/>
        <bgColor auto="1"/>
      </patternFill>
    </fill>
    <fill>
      <patternFill patternType="solid">
        <fgColor rgb="FFFFFF00"/>
        <bgColor indexed="31"/>
      </patternFill>
    </fill>
    <fill>
      <patternFill patternType="solid">
        <fgColor theme="3" tint="0.79998168889431442"/>
        <bgColor indexed="26"/>
      </patternFill>
    </fill>
    <fill>
      <patternFill patternType="solid">
        <fgColor indexed="47"/>
        <bgColor indexed="22"/>
      </patternFill>
    </fill>
    <fill>
      <patternFill patternType="darkDown">
        <fgColor indexed="31"/>
        <bgColor rgb="FFFFFF00"/>
      </patternFill>
    </fill>
    <fill>
      <patternFill patternType="solid">
        <fgColor indexed="57"/>
        <bgColor indexed="38"/>
      </patternFill>
    </fill>
    <fill>
      <patternFill patternType="solid">
        <fgColor indexed="42"/>
        <bgColor indexed="27"/>
      </patternFill>
    </fill>
    <fill>
      <patternFill patternType="solid">
        <fgColor indexed="23"/>
        <bgColor indexed="54"/>
      </patternFill>
    </fill>
    <fill>
      <patternFill patternType="solid">
        <fgColor indexed="44"/>
        <bgColor indexed="31"/>
      </patternFill>
    </fill>
    <fill>
      <patternFill patternType="solid">
        <fgColor indexed="52"/>
        <bgColor indexed="34"/>
      </patternFill>
    </fill>
    <fill>
      <patternFill patternType="solid">
        <fgColor rgb="FF00B050"/>
        <bgColor indexed="64"/>
      </patternFill>
    </fill>
    <fill>
      <patternFill patternType="solid">
        <fgColor rgb="FFFF0000"/>
        <bgColor indexed="64"/>
      </patternFill>
    </fill>
    <fill>
      <patternFill patternType="solid">
        <fgColor theme="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rgb="FFFFFF99"/>
        <bgColor indexed="64"/>
      </patternFill>
    </fill>
    <fill>
      <patternFill patternType="solid">
        <fgColor rgb="FF00FF00"/>
        <bgColor indexed="64"/>
      </patternFill>
    </fill>
  </fills>
  <borders count="8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64"/>
      </top>
      <bottom/>
      <diagonal/>
    </border>
    <border>
      <left style="medium">
        <color indexed="64"/>
      </left>
      <right/>
      <top/>
      <bottom style="thin">
        <color indexed="64"/>
      </bottom>
      <diagonal/>
    </border>
    <border>
      <left style="thin">
        <color indexed="8"/>
      </left>
      <right style="thin">
        <color indexed="8"/>
      </right>
      <top style="thin">
        <color indexed="8"/>
      </top>
      <bottom/>
      <diagonal/>
    </border>
    <border>
      <left style="thin">
        <color indexed="8"/>
      </left>
      <right style="thin">
        <color indexed="8"/>
      </right>
      <top style="medium">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8"/>
      </left>
      <right style="thin">
        <color indexed="8"/>
      </right>
      <top/>
      <bottom/>
      <diagonal/>
    </border>
    <border>
      <left style="thin">
        <color indexed="8"/>
      </left>
      <right style="thin">
        <color indexed="8"/>
      </right>
      <top style="medium">
        <color indexed="8"/>
      </top>
      <bottom/>
      <diagonal/>
    </border>
    <border>
      <left/>
      <right/>
      <top style="thin">
        <color indexed="8"/>
      </top>
      <bottom style="thin">
        <color indexed="8"/>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diagonal/>
    </border>
  </borders>
  <cellStyleXfs count="3">
    <xf numFmtId="0" fontId="0" fillId="0" borderId="0"/>
    <xf numFmtId="0" fontId="11" fillId="0" borderId="0"/>
    <xf numFmtId="9" fontId="31" fillId="0" borderId="0" applyFont="0" applyFill="0" applyBorder="0" applyAlignment="0" applyProtection="0"/>
  </cellStyleXfs>
  <cellXfs count="562">
    <xf numFmtId="0" fontId="0" fillId="0" borderId="0" xfId="0"/>
    <xf numFmtId="0" fontId="1" fillId="0" borderId="0" xfId="0" applyFont="1"/>
    <xf numFmtId="0" fontId="1" fillId="2" borderId="4" xfId="0" applyFont="1" applyFill="1" applyBorder="1" applyAlignment="1" applyProtection="1">
      <alignment horizontal="center"/>
      <protection locked="0"/>
    </xf>
    <xf numFmtId="0" fontId="0" fillId="0" borderId="0" xfId="0" applyAlignment="1">
      <alignment horizontal="center"/>
    </xf>
    <xf numFmtId="1" fontId="0" fillId="0" borderId="8" xfId="0" applyNumberFormat="1" applyBorder="1" applyAlignment="1">
      <alignment horizontal="center"/>
    </xf>
    <xf numFmtId="0" fontId="1" fillId="0" borderId="9" xfId="0" applyFont="1" applyBorder="1"/>
    <xf numFmtId="0" fontId="1" fillId="0" borderId="0" xfId="0" applyFont="1" applyAlignment="1">
      <alignment horizontal="right"/>
    </xf>
    <xf numFmtId="2" fontId="1" fillId="2" borderId="4" xfId="0" applyNumberFormat="1" applyFont="1" applyFill="1" applyBorder="1" applyAlignment="1" applyProtection="1">
      <alignment horizontal="center"/>
      <protection locked="0"/>
    </xf>
    <xf numFmtId="164" fontId="1" fillId="2" borderId="7" xfId="0" applyNumberFormat="1" applyFont="1" applyFill="1" applyBorder="1" applyAlignment="1" applyProtection="1">
      <alignment horizontal="center"/>
      <protection locked="0"/>
    </xf>
    <xf numFmtId="164" fontId="0" fillId="0" borderId="8" xfId="0" applyNumberFormat="1" applyBorder="1" applyAlignment="1">
      <alignment horizontal="center"/>
    </xf>
    <xf numFmtId="0" fontId="1" fillId="0" borderId="5" xfId="0" applyFont="1" applyBorder="1" applyAlignment="1">
      <alignment horizontal="right"/>
    </xf>
    <xf numFmtId="164" fontId="0" fillId="0" borderId="0" xfId="0" applyNumberFormat="1"/>
    <xf numFmtId="2" fontId="0" fillId="0" borderId="0" xfId="0" applyNumberFormat="1"/>
    <xf numFmtId="1" fontId="0" fillId="0" borderId="0" xfId="0" applyNumberFormat="1"/>
    <xf numFmtId="1" fontId="0" fillId="0" borderId="0" xfId="0" applyNumberFormat="1" applyAlignment="1">
      <alignment horizontal="right"/>
    </xf>
    <xf numFmtId="0" fontId="1" fillId="5" borderId="0" xfId="0" applyFont="1" applyFill="1" applyAlignment="1">
      <alignment horizontal="right"/>
    </xf>
    <xf numFmtId="2" fontId="1" fillId="2" borderId="4" xfId="0" applyNumberFormat="1" applyFont="1" applyFill="1" applyBorder="1" applyAlignment="1" applyProtection="1">
      <alignment horizontal="center" vertical="center"/>
      <protection locked="0"/>
    </xf>
    <xf numFmtId="164" fontId="1" fillId="2" borderId="4" xfId="0" applyNumberFormat="1" applyFont="1" applyFill="1" applyBorder="1" applyAlignment="1" applyProtection="1">
      <alignment horizontal="center"/>
      <protection locked="0"/>
    </xf>
    <xf numFmtId="0" fontId="0" fillId="0" borderId="0" xfId="0" applyAlignment="1">
      <alignment horizontal="right"/>
    </xf>
    <xf numFmtId="0" fontId="2" fillId="0" borderId="0" xfId="0" applyFont="1"/>
    <xf numFmtId="0" fontId="1" fillId="0" borderId="1" xfId="0" applyFont="1" applyBorder="1"/>
    <xf numFmtId="0" fontId="1" fillId="0" borderId="2" xfId="0" applyFont="1" applyBorder="1" applyAlignment="1">
      <alignment horizontal="right"/>
    </xf>
    <xf numFmtId="0" fontId="1" fillId="4" borderId="2" xfId="0" applyFont="1" applyFill="1" applyBorder="1" applyAlignment="1">
      <alignment horizontal="center"/>
    </xf>
    <xf numFmtId="0" fontId="1" fillId="0" borderId="2" xfId="0" applyFont="1" applyBorder="1" applyAlignment="1">
      <alignment horizontal="center"/>
    </xf>
    <xf numFmtId="0" fontId="0" fillId="0" borderId="2" xfId="0" applyBorder="1" applyAlignment="1">
      <alignment horizontal="right" vertical="center"/>
    </xf>
    <xf numFmtId="164" fontId="0" fillId="0" borderId="4" xfId="0" applyNumberFormat="1" applyBorder="1" applyAlignment="1">
      <alignment horizontal="center" vertical="center" wrapText="1"/>
    </xf>
    <xf numFmtId="0" fontId="1" fillId="0" borderId="5" xfId="0" applyFont="1" applyBorder="1"/>
    <xf numFmtId="0" fontId="0" fillId="0" borderId="6" xfId="0" applyBorder="1" applyAlignment="1">
      <alignment horizontal="right"/>
    </xf>
    <xf numFmtId="0" fontId="0" fillId="7" borderId="10" xfId="0" applyFill="1" applyBorder="1" applyAlignment="1">
      <alignment horizontal="center"/>
    </xf>
    <xf numFmtId="1" fontId="0" fillId="0" borderId="0" xfId="0" applyNumberFormat="1" applyAlignment="1">
      <alignment horizontal="center"/>
    </xf>
    <xf numFmtId="0" fontId="0" fillId="7" borderId="33" xfId="0" applyFill="1" applyBorder="1" applyAlignment="1">
      <alignment horizontal="center"/>
    </xf>
    <xf numFmtId="0" fontId="0" fillId="7" borderId="0" xfId="0" applyFill="1" applyAlignment="1">
      <alignment horizontal="center"/>
    </xf>
    <xf numFmtId="0" fontId="0" fillId="0" borderId="12" xfId="0" applyBorder="1" applyAlignment="1">
      <alignment horizontal="right"/>
    </xf>
    <xf numFmtId="0" fontId="0" fillId="7" borderId="12" xfId="0" applyFill="1" applyBorder="1" applyAlignment="1">
      <alignment horizontal="center"/>
    </xf>
    <xf numFmtId="0" fontId="1" fillId="0" borderId="0" xfId="0" applyFont="1" applyAlignment="1">
      <alignment horizontal="center"/>
    </xf>
    <xf numFmtId="1" fontId="1" fillId="0" borderId="0" xfId="0" applyNumberFormat="1" applyFont="1" applyAlignment="1">
      <alignment horizontal="center"/>
    </xf>
    <xf numFmtId="0" fontId="6" fillId="0" borderId="0" xfId="0" applyFont="1" applyAlignment="1">
      <alignment horizontal="left"/>
    </xf>
    <xf numFmtId="0" fontId="0" fillId="6" borderId="0" xfId="0" applyFill="1"/>
    <xf numFmtId="2" fontId="1" fillId="6" borderId="4" xfId="0" applyNumberFormat="1" applyFont="1" applyFill="1" applyBorder="1" applyAlignment="1">
      <alignment horizontal="center"/>
    </xf>
    <xf numFmtId="0" fontId="3" fillId="0" borderId="0" xfId="0" applyFont="1" applyAlignment="1">
      <alignment horizontal="left"/>
    </xf>
    <xf numFmtId="1" fontId="0" fillId="0" borderId="0" xfId="0" applyNumberFormat="1" applyAlignment="1">
      <alignment horizontal="left"/>
    </xf>
    <xf numFmtId="0" fontId="4" fillId="0" borderId="0" xfId="0" applyFont="1"/>
    <xf numFmtId="0" fontId="5" fillId="0" borderId="0" xfId="0" applyFont="1"/>
    <xf numFmtId="0" fontId="0" fillId="5" borderId="0" xfId="0" applyFill="1" applyAlignment="1">
      <alignment horizontal="center"/>
    </xf>
    <xf numFmtId="164" fontId="1" fillId="5" borderId="10" xfId="0" applyNumberFormat="1" applyFont="1" applyFill="1" applyBorder="1" applyAlignment="1">
      <alignment horizontal="center"/>
    </xf>
    <xf numFmtId="164" fontId="1" fillId="0" borderId="0" xfId="0" applyNumberFormat="1" applyFont="1" applyAlignment="1">
      <alignment horizontal="center"/>
    </xf>
    <xf numFmtId="0" fontId="0" fillId="0" borderId="26" xfId="0" applyBorder="1" applyAlignment="1">
      <alignment horizontal="center" vertical="center" wrapText="1"/>
    </xf>
    <xf numFmtId="0" fontId="7" fillId="4" borderId="0" xfId="0" applyFont="1" applyFill="1"/>
    <xf numFmtId="0" fontId="8" fillId="4" borderId="0" xfId="0" applyFont="1" applyFill="1"/>
    <xf numFmtId="0" fontId="9" fillId="4" borderId="10" xfId="0" applyFont="1" applyFill="1" applyBorder="1" applyAlignment="1">
      <alignment horizontal="center" vertical="center"/>
    </xf>
    <xf numFmtId="0" fontId="9" fillId="4" borderId="10" xfId="0" applyFont="1" applyFill="1" applyBorder="1" applyAlignment="1">
      <alignment horizontal="center" vertical="center" wrapText="1"/>
    </xf>
    <xf numFmtId="0" fontId="8" fillId="4" borderId="10" xfId="0" applyFont="1" applyFill="1" applyBorder="1" applyAlignment="1">
      <alignment vertical="center" wrapText="1"/>
    </xf>
    <xf numFmtId="164" fontId="1" fillId="5" borderId="33" xfId="0" applyNumberFormat="1" applyFont="1" applyFill="1" applyBorder="1" applyAlignment="1">
      <alignment horizontal="center"/>
    </xf>
    <xf numFmtId="2" fontId="0" fillId="3" borderId="0" xfId="0" applyNumberFormat="1" applyFill="1"/>
    <xf numFmtId="0" fontId="9" fillId="4" borderId="33" xfId="0" applyFont="1" applyFill="1" applyBorder="1" applyAlignment="1">
      <alignment horizontal="center" vertical="center" wrapText="1"/>
    </xf>
    <xf numFmtId="0" fontId="1" fillId="0" borderId="0" xfId="0" applyFont="1" applyAlignment="1">
      <alignment horizontal="center" wrapText="1"/>
    </xf>
    <xf numFmtId="0" fontId="0" fillId="0" borderId="6" xfId="0" applyBorder="1"/>
    <xf numFmtId="0" fontId="0" fillId="0" borderId="27" xfId="0" applyBorder="1"/>
    <xf numFmtId="0" fontId="0" fillId="0" borderId="17" xfId="0" applyBorder="1"/>
    <xf numFmtId="0" fontId="14" fillId="0" borderId="0" xfId="0" applyFont="1"/>
    <xf numFmtId="0" fontId="26" fillId="0" borderId="47" xfId="0" applyFont="1" applyBorder="1" applyAlignment="1">
      <alignment horizontal="center" vertical="center" wrapText="1"/>
    </xf>
    <xf numFmtId="0" fontId="26" fillId="0" borderId="48"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48" xfId="0" applyFont="1" applyBorder="1" applyAlignment="1">
      <alignment horizontal="center" vertical="center" wrapText="1"/>
    </xf>
    <xf numFmtId="0" fontId="16" fillId="9" borderId="52" xfId="1" applyFont="1" applyFill="1" applyBorder="1" applyAlignment="1">
      <alignment horizontal="center" vertical="center" wrapText="1"/>
    </xf>
    <xf numFmtId="0" fontId="16" fillId="8" borderId="52" xfId="1" applyFont="1" applyFill="1" applyBorder="1" applyAlignment="1">
      <alignment horizontal="center" vertical="center" wrapText="1"/>
    </xf>
    <xf numFmtId="0" fontId="16" fillId="10" borderId="49" xfId="1" applyFont="1" applyFill="1" applyBorder="1" applyAlignment="1">
      <alignment horizontal="center" vertical="center" wrapText="1"/>
    </xf>
    <xf numFmtId="0" fontId="19" fillId="0" borderId="49" xfId="1" applyFont="1" applyBorder="1" applyAlignment="1">
      <alignment vertical="center" wrapText="1"/>
    </xf>
    <xf numFmtId="0" fontId="19" fillId="0" borderId="49" xfId="1" applyFont="1" applyBorder="1"/>
    <xf numFmtId="0" fontId="21" fillId="8" borderId="49" xfId="1" applyFont="1" applyFill="1" applyBorder="1" applyAlignment="1">
      <alignment horizontal="center" vertical="center" wrapText="1"/>
    </xf>
    <xf numFmtId="0" fontId="21" fillId="8" borderId="49" xfId="1" applyFont="1" applyFill="1" applyBorder="1" applyAlignment="1">
      <alignment horizontal="center" vertical="center"/>
    </xf>
    <xf numFmtId="0" fontId="11" fillId="10" borderId="49" xfId="1" applyFill="1" applyBorder="1" applyAlignment="1">
      <alignment horizontal="center"/>
    </xf>
    <xf numFmtId="0" fontId="9" fillId="4" borderId="48" xfId="0" applyFont="1" applyFill="1" applyBorder="1" applyAlignment="1">
      <alignment horizontal="center" vertical="center" wrapText="1"/>
    </xf>
    <xf numFmtId="164" fontId="1" fillId="2" borderId="67" xfId="0" applyNumberFormat="1" applyFont="1" applyFill="1" applyBorder="1" applyAlignment="1" applyProtection="1">
      <alignment horizontal="center"/>
      <protection locked="0"/>
    </xf>
    <xf numFmtId="164" fontId="1" fillId="5" borderId="68" xfId="0" applyNumberFormat="1" applyFont="1" applyFill="1" applyBorder="1" applyAlignment="1">
      <alignment horizontal="center"/>
    </xf>
    <xf numFmtId="0" fontId="1" fillId="6" borderId="0" xfId="0" applyFont="1" applyFill="1" applyAlignment="1">
      <alignment horizontal="right"/>
    </xf>
    <xf numFmtId="0" fontId="0" fillId="0" borderId="4" xfId="0" applyBorder="1"/>
    <xf numFmtId="164" fontId="1" fillId="2" borderId="38" xfId="0" applyNumberFormat="1" applyFont="1" applyFill="1" applyBorder="1" applyAlignment="1" applyProtection="1">
      <alignment horizontal="center"/>
      <protection locked="0"/>
    </xf>
    <xf numFmtId="164" fontId="1" fillId="2" borderId="43" xfId="0" applyNumberFormat="1" applyFont="1" applyFill="1" applyBorder="1" applyAlignment="1" applyProtection="1">
      <alignment horizontal="center"/>
      <protection locked="0"/>
    </xf>
    <xf numFmtId="164" fontId="1" fillId="2" borderId="6" xfId="0" applyNumberFormat="1" applyFont="1" applyFill="1" applyBorder="1" applyAlignment="1" applyProtection="1">
      <alignment horizontal="center"/>
      <protection locked="0"/>
    </xf>
    <xf numFmtId="164" fontId="1" fillId="2" borderId="30" xfId="0" applyNumberFormat="1" applyFont="1" applyFill="1" applyBorder="1" applyAlignment="1" applyProtection="1">
      <alignment horizontal="center"/>
      <protection locked="0"/>
    </xf>
    <xf numFmtId="164" fontId="1" fillId="2" borderId="24" xfId="0" applyNumberFormat="1" applyFont="1" applyFill="1" applyBorder="1" applyAlignment="1" applyProtection="1">
      <alignment horizontal="center"/>
      <protection locked="0"/>
    </xf>
    <xf numFmtId="164" fontId="1" fillId="2" borderId="19" xfId="0" applyNumberFormat="1" applyFont="1" applyFill="1" applyBorder="1" applyAlignment="1" applyProtection="1">
      <alignment horizontal="center"/>
      <protection locked="0"/>
    </xf>
    <xf numFmtId="165" fontId="1" fillId="2" borderId="4" xfId="0" applyNumberFormat="1" applyFont="1" applyFill="1" applyBorder="1" applyAlignment="1" applyProtection="1">
      <alignment horizontal="center"/>
      <protection locked="0"/>
    </xf>
    <xf numFmtId="0" fontId="0" fillId="0" borderId="37" xfId="0" applyBorder="1" applyAlignment="1">
      <alignment horizontal="right"/>
    </xf>
    <xf numFmtId="0" fontId="0" fillId="0" borderId="39" xfId="0" applyBorder="1" applyAlignment="1">
      <alignment horizontal="right"/>
    </xf>
    <xf numFmtId="0" fontId="0" fillId="0" borderId="69" xfId="0" applyBorder="1" applyAlignment="1">
      <alignment horizontal="right"/>
    </xf>
    <xf numFmtId="0" fontId="0" fillId="0" borderId="40" xfId="0" applyBorder="1" applyAlignment="1">
      <alignment horizontal="right"/>
    </xf>
    <xf numFmtId="0" fontId="0" fillId="0" borderId="44" xfId="0" applyBorder="1" applyAlignment="1">
      <alignment horizontal="center"/>
    </xf>
    <xf numFmtId="0" fontId="0" fillId="0" borderId="70" xfId="0" applyBorder="1" applyAlignment="1">
      <alignment horizontal="center"/>
    </xf>
    <xf numFmtId="0" fontId="0" fillId="0" borderId="42" xfId="0" applyBorder="1" applyAlignment="1">
      <alignment horizontal="center"/>
    </xf>
    <xf numFmtId="0" fontId="0" fillId="0" borderId="33" xfId="0" applyBorder="1" applyAlignment="1">
      <alignment horizontal="center" vertical="center" wrapText="1"/>
    </xf>
    <xf numFmtId="2" fontId="1" fillId="2" borderId="1" xfId="0" applyNumberFormat="1" applyFont="1" applyFill="1" applyBorder="1" applyAlignment="1" applyProtection="1">
      <alignment horizontal="center"/>
      <protection locked="0"/>
    </xf>
    <xf numFmtId="2" fontId="1" fillId="2" borderId="1" xfId="0" applyNumberFormat="1" applyFont="1" applyFill="1" applyBorder="1" applyAlignment="1" applyProtection="1">
      <alignment horizontal="center" vertical="center"/>
      <protection locked="0"/>
    </xf>
    <xf numFmtId="0" fontId="1" fillId="4" borderId="17" xfId="0" applyFont="1" applyFill="1" applyBorder="1" applyAlignment="1">
      <alignment horizontal="center"/>
    </xf>
    <xf numFmtId="0" fontId="1" fillId="4" borderId="0" xfId="0" applyFont="1" applyFill="1" applyAlignment="1">
      <alignment horizontal="center"/>
    </xf>
    <xf numFmtId="164" fontId="0" fillId="2" borderId="4" xfId="0" applyNumberFormat="1" applyFill="1" applyBorder="1" applyAlignment="1" applyProtection="1">
      <alignment horizontal="center"/>
      <protection locked="0"/>
    </xf>
    <xf numFmtId="0" fontId="0" fillId="7" borderId="29" xfId="0" applyFill="1" applyBorder="1" applyAlignment="1">
      <alignment horizontal="center"/>
    </xf>
    <xf numFmtId="0" fontId="0" fillId="7" borderId="32" xfId="0" applyFill="1" applyBorder="1" applyAlignment="1">
      <alignment horizontal="center"/>
    </xf>
    <xf numFmtId="164" fontId="0" fillId="0" borderId="75" xfId="0" applyNumberFormat="1" applyBorder="1" applyAlignment="1">
      <alignment horizontal="center" vertical="center" wrapText="1"/>
    </xf>
    <xf numFmtId="0" fontId="0" fillId="0" borderId="75" xfId="0" applyBorder="1" applyAlignment="1">
      <alignment horizontal="center" vertical="center" wrapText="1"/>
    </xf>
    <xf numFmtId="0" fontId="0" fillId="7" borderId="34" xfId="0" applyFill="1" applyBorder="1" applyAlignment="1">
      <alignment horizontal="center"/>
    </xf>
    <xf numFmtId="0" fontId="0" fillId="7" borderId="35" xfId="0" applyFill="1" applyBorder="1" applyAlignment="1">
      <alignment horizontal="center"/>
    </xf>
    <xf numFmtId="1" fontId="0" fillId="2" borderId="4" xfId="0" applyNumberFormat="1" applyFill="1" applyBorder="1" applyAlignment="1" applyProtection="1">
      <alignment horizontal="center"/>
      <protection locked="0"/>
    </xf>
    <xf numFmtId="0" fontId="0" fillId="2" borderId="4" xfId="0" applyFill="1" applyBorder="1" applyAlignment="1" applyProtection="1">
      <alignment horizontal="center"/>
      <protection locked="0"/>
    </xf>
    <xf numFmtId="0" fontId="20" fillId="0" borderId="49" xfId="1" applyFont="1" applyBorder="1" applyAlignment="1">
      <alignment horizontal="center"/>
    </xf>
    <xf numFmtId="0" fontId="19" fillId="0" borderId="61" xfId="1" applyFont="1" applyBorder="1" applyAlignment="1">
      <alignment horizontal="center"/>
    </xf>
    <xf numFmtId="0" fontId="19" fillId="0" borderId="66" xfId="1" applyFont="1" applyBorder="1" applyAlignment="1">
      <alignment horizontal="center"/>
    </xf>
    <xf numFmtId="0" fontId="20" fillId="0" borderId="54" xfId="1" applyFont="1" applyBorder="1" applyAlignment="1">
      <alignment horizontal="center"/>
    </xf>
    <xf numFmtId="0" fontId="11" fillId="0" borderId="61" xfId="1" applyBorder="1" applyAlignment="1">
      <alignment horizontal="left" vertical="top" wrapText="1"/>
    </xf>
    <xf numFmtId="3" fontId="1" fillId="2" borderId="4" xfId="0" applyNumberFormat="1" applyFont="1" applyFill="1" applyBorder="1" applyAlignment="1" applyProtection="1">
      <alignment horizontal="center"/>
      <protection locked="0"/>
    </xf>
    <xf numFmtId="0" fontId="1" fillId="0" borderId="6" xfId="0" applyFon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3" borderId="0" xfId="0" applyFill="1" applyAlignment="1">
      <alignment wrapText="1"/>
    </xf>
    <xf numFmtId="0" fontId="0" fillId="0" borderId="2" xfId="0" applyBorder="1" applyAlignment="1">
      <alignment horizontal="center" vertical="center"/>
    </xf>
    <xf numFmtId="0" fontId="0" fillId="0" borderId="4" xfId="0" applyBorder="1" applyAlignment="1">
      <alignment horizontal="center" vertical="center" wrapText="1"/>
    </xf>
    <xf numFmtId="0" fontId="0" fillId="0" borderId="0" xfId="0" applyAlignment="1">
      <alignment horizontal="center" vertical="center" wrapText="1"/>
    </xf>
    <xf numFmtId="164" fontId="0" fillId="0" borderId="0" xfId="0" applyNumberFormat="1" applyAlignment="1">
      <alignment horizontal="center"/>
    </xf>
    <xf numFmtId="0" fontId="1" fillId="5" borderId="0" xfId="0" applyFont="1" applyFill="1" applyAlignment="1">
      <alignment horizontal="center"/>
    </xf>
    <xf numFmtId="164" fontId="1" fillId="5" borderId="4" xfId="0" applyNumberFormat="1" applyFont="1" applyFill="1" applyBorder="1" applyAlignment="1">
      <alignment horizontal="center"/>
    </xf>
    <xf numFmtId="0" fontId="1" fillId="5" borderId="4" xfId="0" applyFont="1" applyFill="1" applyBorder="1" applyAlignment="1">
      <alignment horizontal="center"/>
    </xf>
    <xf numFmtId="1" fontId="1" fillId="5" borderId="7" xfId="0" applyNumberFormat="1" applyFont="1" applyFill="1" applyBorder="1" applyAlignment="1">
      <alignment horizontal="center"/>
    </xf>
    <xf numFmtId="2" fontId="1" fillId="5" borderId="7" xfId="0" applyNumberFormat="1" applyFont="1" applyFill="1" applyBorder="1" applyAlignment="1">
      <alignment horizontal="center"/>
    </xf>
    <xf numFmtId="164" fontId="1" fillId="5" borderId="7" xfId="0" applyNumberFormat="1" applyFont="1" applyFill="1" applyBorder="1" applyAlignment="1">
      <alignment horizontal="center"/>
    </xf>
    <xf numFmtId="0" fontId="1" fillId="19" borderId="1" xfId="0" applyFont="1" applyFill="1" applyBorder="1"/>
    <xf numFmtId="0" fontId="1" fillId="19" borderId="2" xfId="0" applyFont="1" applyFill="1" applyBorder="1" applyAlignment="1">
      <alignment horizontal="right"/>
    </xf>
    <xf numFmtId="1" fontId="1" fillId="19" borderId="2" xfId="0" applyNumberFormat="1" applyFont="1" applyFill="1" applyBorder="1" applyAlignment="1">
      <alignment horizontal="center"/>
    </xf>
    <xf numFmtId="2" fontId="1" fillId="19" borderId="2" xfId="0" applyNumberFormat="1" applyFont="1" applyFill="1" applyBorder="1" applyAlignment="1">
      <alignment horizontal="center"/>
    </xf>
    <xf numFmtId="164" fontId="1" fillId="19" borderId="2" xfId="0" applyNumberFormat="1" applyFont="1" applyFill="1" applyBorder="1" applyAlignment="1">
      <alignment horizontal="center"/>
    </xf>
    <xf numFmtId="164" fontId="0" fillId="19" borderId="2" xfId="0" applyNumberFormat="1" applyFill="1" applyBorder="1" applyAlignment="1">
      <alignment horizontal="center"/>
    </xf>
    <xf numFmtId="1" fontId="0" fillId="19" borderId="3" xfId="0" applyNumberFormat="1" applyFill="1" applyBorder="1" applyAlignment="1">
      <alignment horizontal="center"/>
    </xf>
    <xf numFmtId="1" fontId="1" fillId="2" borderId="4" xfId="0" applyNumberFormat="1" applyFont="1" applyFill="1" applyBorder="1" applyAlignment="1" applyProtection="1">
      <alignment horizontal="center"/>
      <protection locked="0"/>
    </xf>
    <xf numFmtId="2" fontId="0" fillId="3" borderId="0" xfId="0" applyNumberFormat="1" applyFill="1" applyAlignment="1">
      <alignment horizontal="center"/>
    </xf>
    <xf numFmtId="0" fontId="1" fillId="6" borderId="0" xfId="0" applyFont="1" applyFill="1"/>
    <xf numFmtId="2" fontId="1" fillId="6" borderId="4" xfId="0" applyNumberFormat="1" applyFont="1" applyFill="1" applyBorder="1" applyAlignment="1">
      <alignment horizontal="center" vertical="center"/>
    </xf>
    <xf numFmtId="0" fontId="0" fillId="0" borderId="0" xfId="0" applyAlignment="1">
      <alignment horizontal="right" vertical="center"/>
    </xf>
    <xf numFmtId="1" fontId="0" fillId="0" borderId="0" xfId="0" applyNumberFormat="1" applyAlignment="1">
      <alignment horizontal="left" vertical="center"/>
    </xf>
    <xf numFmtId="0" fontId="21" fillId="0" borderId="49" xfId="1" applyFont="1" applyBorder="1" applyAlignment="1">
      <alignment vertical="center"/>
    </xf>
    <xf numFmtId="0" fontId="0" fillId="3" borderId="0" xfId="0" applyFill="1" applyAlignment="1">
      <alignment horizontal="center" wrapText="1"/>
    </xf>
    <xf numFmtId="3" fontId="0" fillId="0" borderId="8" xfId="0" applyNumberFormat="1" applyBorder="1" applyAlignment="1">
      <alignment horizontal="center"/>
    </xf>
    <xf numFmtId="1" fontId="0" fillId="3" borderId="0" xfId="0" applyNumberFormat="1" applyFill="1" applyAlignment="1">
      <alignment horizontal="center"/>
    </xf>
    <xf numFmtId="3" fontId="0" fillId="0" borderId="48" xfId="0" applyNumberFormat="1" applyBorder="1" applyAlignment="1">
      <alignment horizontal="center"/>
    </xf>
    <xf numFmtId="1" fontId="1" fillId="5" borderId="19" xfId="0" applyNumberFormat="1" applyFont="1" applyFill="1" applyBorder="1" applyAlignment="1">
      <alignment horizontal="center"/>
    </xf>
    <xf numFmtId="2" fontId="1" fillId="5" borderId="19" xfId="0" applyNumberFormat="1" applyFont="1" applyFill="1" applyBorder="1" applyAlignment="1">
      <alignment horizontal="center"/>
    </xf>
    <xf numFmtId="164" fontId="1" fillId="5" borderId="19" xfId="0" applyNumberFormat="1" applyFont="1" applyFill="1" applyBorder="1" applyAlignment="1">
      <alignment horizontal="center"/>
    </xf>
    <xf numFmtId="3" fontId="0" fillId="0" borderId="20" xfId="0" applyNumberFormat="1" applyBorder="1" applyAlignment="1">
      <alignment horizontal="center"/>
    </xf>
    <xf numFmtId="1" fontId="1" fillId="5" borderId="46" xfId="0" applyNumberFormat="1" applyFont="1" applyFill="1" applyBorder="1" applyAlignment="1">
      <alignment horizontal="center"/>
    </xf>
    <xf numFmtId="2" fontId="1" fillId="5" borderId="47" xfId="0" applyNumberFormat="1" applyFont="1" applyFill="1" applyBorder="1" applyAlignment="1">
      <alignment horizontal="center"/>
    </xf>
    <xf numFmtId="164" fontId="1" fillId="5" borderId="47" xfId="0" applyNumberFormat="1" applyFont="1" applyFill="1" applyBorder="1" applyAlignment="1">
      <alignment horizontal="center"/>
    </xf>
    <xf numFmtId="3" fontId="1" fillId="5" borderId="10" xfId="0" applyNumberFormat="1" applyFont="1" applyFill="1" applyBorder="1" applyAlignment="1">
      <alignment horizontal="center"/>
    </xf>
    <xf numFmtId="0" fontId="8" fillId="4" borderId="10" xfId="0" applyFont="1" applyFill="1" applyBorder="1" applyAlignment="1">
      <alignment vertical="center"/>
    </xf>
    <xf numFmtId="164" fontId="8" fillId="4" borderId="10" xfId="0" applyNumberFormat="1" applyFont="1" applyFill="1" applyBorder="1" applyAlignment="1">
      <alignment horizontal="center" vertical="center"/>
    </xf>
    <xf numFmtId="3" fontId="8" fillId="4" borderId="10" xfId="0" applyNumberFormat="1" applyFont="1" applyFill="1" applyBorder="1" applyAlignment="1">
      <alignment vertical="center"/>
    </xf>
    <xf numFmtId="0" fontId="7" fillId="4" borderId="0" xfId="0" applyFont="1" applyFill="1" applyAlignment="1">
      <alignment horizontal="right" vertical="center"/>
    </xf>
    <xf numFmtId="3" fontId="7" fillId="4" borderId="4" xfId="0" applyNumberFormat="1" applyFont="1" applyFill="1" applyBorder="1" applyAlignment="1">
      <alignment vertical="center"/>
    </xf>
    <xf numFmtId="0" fontId="10" fillId="4" borderId="10" xfId="0" applyFont="1" applyFill="1" applyBorder="1" applyAlignment="1">
      <alignment vertical="center"/>
    </xf>
    <xf numFmtId="0" fontId="0" fillId="0" borderId="10" xfId="0" applyBorder="1"/>
    <xf numFmtId="3" fontId="0" fillId="0" borderId="10" xfId="0" applyNumberFormat="1" applyBorder="1"/>
    <xf numFmtId="3" fontId="7" fillId="4" borderId="30" xfId="0" applyNumberFormat="1" applyFont="1" applyFill="1" applyBorder="1" applyAlignment="1">
      <alignment vertical="center"/>
    </xf>
    <xf numFmtId="0" fontId="12" fillId="0" borderId="0" xfId="1" applyFont="1" applyAlignment="1">
      <alignment vertical="center"/>
    </xf>
    <xf numFmtId="0" fontId="11" fillId="0" borderId="0" xfId="1" applyAlignment="1">
      <alignment vertical="center"/>
    </xf>
    <xf numFmtId="0" fontId="22" fillId="0" borderId="0" xfId="1" applyFont="1" applyAlignment="1">
      <alignment horizontal="left" vertical="center" wrapText="1"/>
    </xf>
    <xf numFmtId="0" fontId="11" fillId="0" borderId="0" xfId="1"/>
    <xf numFmtId="0" fontId="23" fillId="0" borderId="0" xfId="1" applyFont="1" applyAlignment="1">
      <alignment vertical="center"/>
    </xf>
    <xf numFmtId="0" fontId="21" fillId="8" borderId="49" xfId="1" applyFont="1" applyFill="1" applyBorder="1" applyAlignment="1">
      <alignment horizontal="left" vertical="center" wrapText="1"/>
    </xf>
    <xf numFmtId="0" fontId="21" fillId="9" borderId="52" xfId="1" applyFont="1" applyFill="1" applyBorder="1" applyAlignment="1">
      <alignment horizontal="center" vertical="center" wrapText="1"/>
    </xf>
    <xf numFmtId="0" fontId="11" fillId="13" borderId="49" xfId="1" applyFill="1" applyBorder="1" applyAlignment="1">
      <alignment horizontal="center" vertical="center" wrapText="1"/>
    </xf>
    <xf numFmtId="0" fontId="11" fillId="10" borderId="53" xfId="1" applyFill="1" applyBorder="1" applyAlignment="1">
      <alignment horizontal="center" vertical="center" wrapText="1"/>
    </xf>
    <xf numFmtId="0" fontId="11" fillId="10" borderId="49" xfId="1" applyFill="1" applyBorder="1" applyAlignment="1">
      <alignment horizontal="center" vertical="center" wrapText="1"/>
    </xf>
    <xf numFmtId="0" fontId="11" fillId="10" borderId="55" xfId="1" applyFill="1" applyBorder="1" applyAlignment="1">
      <alignment horizontal="center" vertical="center" wrapText="1"/>
    </xf>
    <xf numFmtId="0" fontId="11" fillId="8" borderId="49" xfId="1" applyFill="1" applyBorder="1" applyAlignment="1">
      <alignment horizontal="center" vertical="center"/>
    </xf>
    <xf numFmtId="0" fontId="18" fillId="9" borderId="49" xfId="1" applyFont="1" applyFill="1" applyBorder="1"/>
    <xf numFmtId="1" fontId="11" fillId="13" borderId="49" xfId="1" applyNumberFormat="1" applyFill="1" applyBorder="1" applyAlignment="1">
      <alignment horizontal="center" vertical="center"/>
    </xf>
    <xf numFmtId="0" fontId="18" fillId="0" borderId="0" xfId="1" applyFont="1"/>
    <xf numFmtId="0" fontId="18" fillId="0" borderId="0" xfId="1" applyFont="1" applyAlignment="1">
      <alignment wrapText="1"/>
    </xf>
    <xf numFmtId="0" fontId="11" fillId="8" borderId="0" xfId="1" applyFill="1" applyAlignment="1">
      <alignment horizontal="center" vertical="center"/>
    </xf>
    <xf numFmtId="0" fontId="18" fillId="9" borderId="0" xfId="1" applyFont="1" applyFill="1"/>
    <xf numFmtId="0" fontId="11" fillId="9" borderId="49" xfId="1" applyFill="1" applyBorder="1" applyAlignment="1">
      <alignment horizontal="center" vertical="center"/>
    </xf>
    <xf numFmtId="0" fontId="11" fillId="9" borderId="56" xfId="1" applyFill="1" applyBorder="1" applyAlignment="1">
      <alignment horizontal="center" vertical="center"/>
    </xf>
    <xf numFmtId="0" fontId="24" fillId="0" borderId="0" xfId="1" applyFont="1" applyAlignment="1">
      <alignment horizontal="left" vertical="center" wrapText="1"/>
    </xf>
    <xf numFmtId="0" fontId="24" fillId="0" borderId="0" xfId="1" applyFont="1" applyAlignment="1">
      <alignment horizontal="center" vertical="center"/>
    </xf>
    <xf numFmtId="0" fontId="11" fillId="0" borderId="0" xfId="1" applyAlignment="1">
      <alignment horizontal="center" vertical="center"/>
    </xf>
    <xf numFmtId="0" fontId="21" fillId="0" borderId="0" xfId="1" applyFont="1" applyAlignment="1">
      <alignment horizontal="left" vertical="center"/>
    </xf>
    <xf numFmtId="0" fontId="21" fillId="8" borderId="52" xfId="1" applyFont="1" applyFill="1" applyBorder="1" applyAlignment="1">
      <alignment horizontal="left" vertical="center" wrapText="1"/>
    </xf>
    <xf numFmtId="0" fontId="21" fillId="13" borderId="49" xfId="1" applyFont="1" applyFill="1" applyBorder="1" applyAlignment="1">
      <alignment horizontal="center" vertical="center" wrapText="1"/>
    </xf>
    <xf numFmtId="0" fontId="11" fillId="9" borderId="49" xfId="1" applyFill="1" applyBorder="1" applyAlignment="1">
      <alignment horizontal="center" vertical="center" wrapText="1"/>
    </xf>
    <xf numFmtId="0" fontId="18" fillId="9" borderId="49" xfId="1" applyFont="1" applyFill="1" applyBorder="1" applyAlignment="1">
      <alignment horizontal="center"/>
    </xf>
    <xf numFmtId="0" fontId="11" fillId="0" borderId="49" xfId="1" applyBorder="1" applyAlignment="1">
      <alignment horizontal="center" vertical="center" wrapText="1"/>
    </xf>
    <xf numFmtId="1" fontId="11" fillId="8" borderId="54" xfId="1" applyNumberFormat="1" applyFill="1" applyBorder="1" applyAlignment="1">
      <alignment horizontal="center" vertical="center" wrapText="1"/>
    </xf>
    <xf numFmtId="0" fontId="11" fillId="0" borderId="49" xfId="1" applyBorder="1" applyAlignment="1">
      <alignment vertical="center" wrapText="1"/>
    </xf>
    <xf numFmtId="0" fontId="11" fillId="10" borderId="49" xfId="1" applyFill="1" applyBorder="1" applyAlignment="1">
      <alignment vertical="center" wrapText="1"/>
    </xf>
    <xf numFmtId="1" fontId="11" fillId="8" borderId="49" xfId="1" applyNumberFormat="1" applyFill="1" applyBorder="1" applyAlignment="1">
      <alignment horizontal="center" vertical="center"/>
    </xf>
    <xf numFmtId="0" fontId="11" fillId="0" borderId="0" xfId="1" applyAlignment="1">
      <alignment vertical="center" wrapText="1"/>
    </xf>
    <xf numFmtId="1" fontId="11" fillId="9" borderId="49" xfId="1" applyNumberFormat="1" applyFill="1" applyBorder="1" applyAlignment="1">
      <alignment horizontal="center" vertical="center"/>
    </xf>
    <xf numFmtId="0" fontId="11" fillId="0" borderId="49" xfId="1" applyBorder="1" applyAlignment="1">
      <alignment vertical="center"/>
    </xf>
    <xf numFmtId="164" fontId="11" fillId="13" borderId="49" xfId="1" applyNumberFormat="1" applyFill="1" applyBorder="1" applyAlignment="1">
      <alignment horizontal="center" vertical="center"/>
    </xf>
    <xf numFmtId="0" fontId="11" fillId="10" borderId="49" xfId="1" applyFill="1" applyBorder="1" applyAlignment="1">
      <alignment vertical="center"/>
    </xf>
    <xf numFmtId="164" fontId="11" fillId="15" borderId="49" xfId="1" applyNumberFormat="1" applyFill="1" applyBorder="1" applyAlignment="1">
      <alignment horizontal="center" vertical="center"/>
    </xf>
    <xf numFmtId="0" fontId="21" fillId="0" borderId="49" xfId="1" applyFont="1" applyBorder="1" applyAlignment="1">
      <alignment vertical="center" wrapText="1"/>
    </xf>
    <xf numFmtId="1" fontId="21" fillId="13" borderId="49" xfId="1" applyNumberFormat="1" applyFont="1" applyFill="1" applyBorder="1" applyAlignment="1">
      <alignment horizontal="center" vertical="center"/>
    </xf>
    <xf numFmtId="0" fontId="21" fillId="0" borderId="0" xfId="1" applyFont="1" applyAlignment="1">
      <alignment vertical="center"/>
    </xf>
    <xf numFmtId="0" fontId="11" fillId="0" borderId="49" xfId="1" applyBorder="1" applyAlignment="1">
      <alignment horizontal="center" vertical="center"/>
    </xf>
    <xf numFmtId="0" fontId="11" fillId="10" borderId="49" xfId="1" applyFill="1" applyBorder="1" applyAlignment="1">
      <alignment horizontal="center" vertical="center"/>
    </xf>
    <xf numFmtId="0" fontId="11" fillId="0" borderId="49" xfId="1" applyBorder="1" applyAlignment="1">
      <alignment horizontal="left" vertical="center" wrapText="1"/>
    </xf>
    <xf numFmtId="0" fontId="11" fillId="9" borderId="49" xfId="1" applyFill="1" applyBorder="1" applyAlignment="1">
      <alignment horizontal="right" vertical="center"/>
    </xf>
    <xf numFmtId="0" fontId="11" fillId="13" borderId="49" xfId="1" applyFill="1" applyBorder="1" applyAlignment="1">
      <alignment horizontal="center" vertical="center"/>
    </xf>
    <xf numFmtId="0" fontId="21" fillId="0" borderId="49" xfId="1" applyFont="1" applyBorder="1" applyAlignment="1">
      <alignment horizontal="center" vertical="center"/>
    </xf>
    <xf numFmtId="0" fontId="21" fillId="13" borderId="49" xfId="1" applyFont="1" applyFill="1" applyBorder="1" applyAlignment="1">
      <alignment horizontal="center" vertical="center"/>
    </xf>
    <xf numFmtId="0" fontId="21" fillId="0" borderId="49" xfId="1" applyFont="1" applyBorder="1" applyAlignment="1">
      <alignment horizontal="center" vertical="center" wrapText="1"/>
    </xf>
    <xf numFmtId="2" fontId="11" fillId="9" borderId="49" xfId="1" applyNumberFormat="1" applyFill="1" applyBorder="1" applyAlignment="1">
      <alignment horizontal="right" vertical="center"/>
    </xf>
    <xf numFmtId="0" fontId="11" fillId="0" borderId="54" xfId="1" applyBorder="1" applyAlignment="1">
      <alignment horizontal="left" vertical="center" wrapText="1"/>
    </xf>
    <xf numFmtId="0" fontId="21" fillId="10" borderId="49" xfId="1" applyFont="1" applyFill="1" applyBorder="1" applyAlignment="1">
      <alignment horizontal="center" vertical="center"/>
    </xf>
    <xf numFmtId="0" fontId="21" fillId="0" borderId="0" xfId="1" applyFont="1" applyAlignment="1">
      <alignment horizontal="right" vertical="center"/>
    </xf>
    <xf numFmtId="0" fontId="21" fillId="0" borderId="49" xfId="1" applyFont="1" applyBorder="1" applyAlignment="1">
      <alignment horizontal="right" vertical="center"/>
    </xf>
    <xf numFmtId="0" fontId="21" fillId="0" borderId="56" xfId="1" applyFont="1" applyBorder="1" applyAlignment="1">
      <alignment horizontal="center" vertical="center"/>
    </xf>
    <xf numFmtId="0" fontId="11" fillId="0" borderId="1" xfId="1" applyBorder="1" applyAlignment="1">
      <alignment vertical="center"/>
    </xf>
    <xf numFmtId="0" fontId="21" fillId="0" borderId="2" xfId="1" applyFont="1" applyBorder="1" applyAlignment="1">
      <alignment horizontal="right" vertical="center"/>
    </xf>
    <xf numFmtId="0" fontId="21" fillId="0" borderId="62" xfId="1" applyFont="1" applyBorder="1" applyAlignment="1">
      <alignment horizontal="right" vertical="center"/>
    </xf>
    <xf numFmtId="0" fontId="21" fillId="10" borderId="62" xfId="1" applyFont="1" applyFill="1" applyBorder="1" applyAlignment="1">
      <alignment horizontal="center" vertical="center"/>
    </xf>
    <xf numFmtId="1" fontId="21" fillId="13" borderId="63" xfId="1" applyNumberFormat="1" applyFont="1" applyFill="1" applyBorder="1" applyAlignment="1">
      <alignment horizontal="center" vertical="center"/>
    </xf>
    <xf numFmtId="0" fontId="21" fillId="9" borderId="49" xfId="1" applyFont="1" applyFill="1" applyBorder="1" applyAlignment="1">
      <alignment horizontal="center" vertical="center" wrapText="1"/>
    </xf>
    <xf numFmtId="0" fontId="18" fillId="0" borderId="49" xfId="1" applyFont="1" applyBorder="1" applyAlignment="1">
      <alignment wrapText="1"/>
    </xf>
    <xf numFmtId="164" fontId="11" fillId="8" borderId="49" xfId="1" applyNumberFormat="1" applyFill="1" applyBorder="1" applyAlignment="1">
      <alignment horizontal="center" vertical="center" wrapText="1"/>
    </xf>
    <xf numFmtId="1" fontId="18" fillId="9" borderId="49" xfId="1" applyNumberFormat="1" applyFont="1" applyFill="1" applyBorder="1" applyAlignment="1">
      <alignment horizontal="center" vertical="center"/>
    </xf>
    <xf numFmtId="164" fontId="18" fillId="9" borderId="49" xfId="1" applyNumberFormat="1" applyFont="1" applyFill="1" applyBorder="1" applyAlignment="1">
      <alignment horizontal="center" vertical="center"/>
    </xf>
    <xf numFmtId="164" fontId="11" fillId="13" borderId="54" xfId="1" applyNumberFormat="1" applyFill="1" applyBorder="1" applyAlignment="1">
      <alignment horizontal="center" vertical="center"/>
    </xf>
    <xf numFmtId="164" fontId="18" fillId="9" borderId="52" xfId="1" applyNumberFormat="1" applyFont="1" applyFill="1" applyBorder="1" applyAlignment="1">
      <alignment horizontal="center" vertical="center"/>
    </xf>
    <xf numFmtId="164" fontId="11" fillId="13" borderId="64" xfId="1" applyNumberFormat="1" applyFill="1" applyBorder="1" applyAlignment="1">
      <alignment horizontal="center" vertical="center"/>
    </xf>
    <xf numFmtId="0" fontId="0" fillId="0" borderId="1" xfId="0" applyBorder="1" applyAlignment="1">
      <alignment vertical="center"/>
    </xf>
    <xf numFmtId="0" fontId="0" fillId="0" borderId="2" xfId="0" applyBorder="1" applyAlignment="1">
      <alignment vertical="center"/>
    </xf>
    <xf numFmtId="1" fontId="1" fillId="0" borderId="2" xfId="0" applyNumberFormat="1" applyFont="1" applyBorder="1" applyAlignment="1">
      <alignment horizontal="center" vertical="center"/>
    </xf>
    <xf numFmtId="1" fontId="1" fillId="0" borderId="3" xfId="0" applyNumberFormat="1" applyFont="1" applyBorder="1" applyAlignment="1">
      <alignment horizontal="center" vertical="center"/>
    </xf>
    <xf numFmtId="0" fontId="11" fillId="0" borderId="0" xfId="1" applyAlignment="1">
      <alignment horizontal="left" vertical="center" wrapText="1"/>
    </xf>
    <xf numFmtId="0" fontId="16" fillId="8" borderId="58" xfId="1" applyFont="1" applyFill="1" applyBorder="1" applyAlignment="1">
      <alignment horizontal="center" vertical="center" wrapText="1"/>
    </xf>
    <xf numFmtId="0" fontId="16" fillId="9" borderId="52" xfId="1" applyFont="1" applyFill="1" applyBorder="1" applyAlignment="1">
      <alignment vertical="center" wrapText="1"/>
    </xf>
    <xf numFmtId="0" fontId="16" fillId="10" borderId="55" xfId="1" applyFont="1" applyFill="1" applyBorder="1" applyAlignment="1">
      <alignment horizontal="center" vertical="center" wrapText="1"/>
    </xf>
    <xf numFmtId="0" fontId="19" fillId="0" borderId="0" xfId="1" applyFont="1" applyAlignment="1">
      <alignment vertical="center" wrapText="1"/>
    </xf>
    <xf numFmtId="0" fontId="19" fillId="9" borderId="49" xfId="1" applyFont="1" applyFill="1" applyBorder="1" applyAlignment="1">
      <alignment horizontal="center"/>
    </xf>
    <xf numFmtId="164" fontId="18" fillId="9" borderId="49" xfId="1" applyNumberFormat="1" applyFont="1" applyFill="1" applyBorder="1" applyAlignment="1">
      <alignment horizontal="right"/>
    </xf>
    <xf numFmtId="164" fontId="17" fillId="13" borderId="49" xfId="1" applyNumberFormat="1" applyFont="1" applyFill="1" applyBorder="1" applyAlignment="1">
      <alignment horizontal="center"/>
    </xf>
    <xf numFmtId="0" fontId="19" fillId="0" borderId="0" xfId="1" applyFont="1"/>
    <xf numFmtId="0" fontId="20" fillId="11" borderId="49" xfId="1" applyFont="1" applyFill="1" applyBorder="1" applyAlignment="1">
      <alignment horizontal="center"/>
    </xf>
    <xf numFmtId="0" fontId="0" fillId="0" borderId="1" xfId="0" applyBorder="1"/>
    <xf numFmtId="0" fontId="0" fillId="0" borderId="2" xfId="0" applyBorder="1"/>
    <xf numFmtId="0" fontId="16" fillId="8" borderId="57" xfId="1" applyFont="1" applyFill="1" applyBorder="1" applyAlignment="1">
      <alignment horizontal="center" vertical="center" wrapText="1"/>
    </xf>
    <xf numFmtId="0" fontId="11" fillId="14" borderId="49" xfId="1" applyFill="1" applyBorder="1" applyAlignment="1">
      <alignment horizontal="center" vertical="center" wrapText="1"/>
    </xf>
    <xf numFmtId="0" fontId="11" fillId="10" borderId="65" xfId="1" applyFill="1" applyBorder="1" applyAlignment="1">
      <alignment horizontal="center" vertical="center" wrapText="1"/>
    </xf>
    <xf numFmtId="0" fontId="11" fillId="14" borderId="49" xfId="1" applyFill="1" applyBorder="1" applyAlignment="1">
      <alignment vertical="center"/>
    </xf>
    <xf numFmtId="0" fontId="18" fillId="14" borderId="49" xfId="1" applyFont="1" applyFill="1" applyBorder="1"/>
    <xf numFmtId="0" fontId="0" fillId="0" borderId="5" xfId="0" applyBorder="1" applyAlignment="1">
      <alignment horizontal="right" wrapText="1"/>
    </xf>
    <xf numFmtId="0" fontId="0" fillId="0" borderId="6" xfId="0" applyBorder="1" applyAlignment="1">
      <alignment horizontal="right" wrapText="1"/>
    </xf>
    <xf numFmtId="0" fontId="0" fillId="0" borderId="11" xfId="0" applyBorder="1" applyAlignment="1">
      <alignment horizontal="right" wrapText="1"/>
    </xf>
    <xf numFmtId="0" fontId="0" fillId="0" borderId="12" xfId="0" applyBorder="1" applyAlignment="1">
      <alignment horizontal="right" wrapText="1"/>
    </xf>
    <xf numFmtId="0" fontId="23" fillId="0" borderId="0" xfId="1" applyFont="1" applyAlignment="1">
      <alignment horizontal="left" vertical="top" wrapText="1"/>
    </xf>
    <xf numFmtId="0" fontId="27" fillId="0" borderId="0" xfId="1" applyFont="1" applyAlignment="1">
      <alignment horizontal="center"/>
    </xf>
    <xf numFmtId="0" fontId="11" fillId="0" borderId="0" xfId="1" applyAlignment="1">
      <alignment horizontal="left" vertical="top"/>
    </xf>
    <xf numFmtId="0" fontId="11" fillId="8" borderId="49" xfId="1" applyFill="1" applyBorder="1" applyAlignment="1">
      <alignment horizontal="center" vertical="top" wrapText="1"/>
    </xf>
    <xf numFmtId="164" fontId="11" fillId="13" borderId="49" xfId="1" applyNumberFormat="1" applyFill="1" applyBorder="1" applyAlignment="1">
      <alignment horizontal="center" vertical="top" wrapText="1"/>
    </xf>
    <xf numFmtId="164" fontId="11" fillId="13" borderId="52" xfId="1" applyNumberFormat="1" applyFill="1" applyBorder="1" applyAlignment="1">
      <alignment horizontal="center" vertical="top" wrapText="1"/>
    </xf>
    <xf numFmtId="0" fontId="11" fillId="0" borderId="49" xfId="1" applyBorder="1" applyAlignment="1">
      <alignment horizontal="left" vertical="top" wrapText="1"/>
    </xf>
    <xf numFmtId="3" fontId="11" fillId="8" borderId="49" xfId="1" applyNumberFormat="1" applyFill="1" applyBorder="1" applyAlignment="1">
      <alignment horizontal="center" vertical="top" wrapText="1"/>
    </xf>
    <xf numFmtId="2" fontId="11" fillId="13" borderId="49" xfId="1" applyNumberFormat="1" applyFill="1" applyBorder="1" applyAlignment="1">
      <alignment horizontal="center" vertical="top" wrapText="1"/>
    </xf>
    <xf numFmtId="0" fontId="11" fillId="9" borderId="49" xfId="1" applyFill="1" applyBorder="1" applyAlignment="1">
      <alignment horizontal="center" vertical="top" wrapText="1"/>
    </xf>
    <xf numFmtId="2" fontId="11" fillId="13" borderId="52" xfId="1" applyNumberFormat="1" applyFill="1" applyBorder="1" applyAlignment="1">
      <alignment horizontal="center" vertical="top" wrapText="1"/>
    </xf>
    <xf numFmtId="0" fontId="11" fillId="9" borderId="52" xfId="1" applyFill="1" applyBorder="1" applyAlignment="1">
      <alignment horizontal="center" vertical="center"/>
    </xf>
    <xf numFmtId="1" fontId="11" fillId="13" borderId="52" xfId="1" applyNumberFormat="1" applyFill="1" applyBorder="1" applyAlignment="1">
      <alignment horizontal="center" vertical="center"/>
    </xf>
    <xf numFmtId="164" fontId="18" fillId="9" borderId="49" xfId="1" applyNumberFormat="1" applyFont="1" applyFill="1" applyBorder="1" applyAlignment="1">
      <alignment horizontal="center"/>
    </xf>
    <xf numFmtId="0" fontId="22" fillId="0" borderId="0" xfId="1" applyFont="1" applyAlignment="1">
      <alignment horizontal="left" vertical="center"/>
    </xf>
    <xf numFmtId="0" fontId="28" fillId="12" borderId="61" xfId="1" applyFont="1" applyFill="1" applyBorder="1" applyAlignment="1">
      <alignment horizontal="left" vertical="center"/>
    </xf>
    <xf numFmtId="0" fontId="28" fillId="12" borderId="66" xfId="1" applyFont="1" applyFill="1" applyBorder="1" applyAlignment="1">
      <alignment horizontal="left" vertical="center" wrapText="1"/>
    </xf>
    <xf numFmtId="0" fontId="28" fillId="12" borderId="55" xfId="1" applyFont="1" applyFill="1" applyBorder="1" applyAlignment="1">
      <alignment horizontal="left" vertical="center" wrapText="1"/>
    </xf>
    <xf numFmtId="1" fontId="28" fillId="13" borderId="49" xfId="1" applyNumberFormat="1" applyFont="1" applyFill="1" applyBorder="1" applyAlignment="1">
      <alignment horizontal="center" vertical="center" wrapText="1"/>
    </xf>
    <xf numFmtId="1" fontId="28" fillId="0" borderId="0" xfId="1" applyNumberFormat="1" applyFont="1" applyAlignment="1">
      <alignment horizontal="left" vertical="center" wrapText="1"/>
    </xf>
    <xf numFmtId="0" fontId="28" fillId="0" borderId="0" xfId="1" applyFont="1" applyAlignment="1">
      <alignment horizontal="left" vertical="center" wrapText="1"/>
    </xf>
    <xf numFmtId="0" fontId="28" fillId="0" borderId="0" xfId="1" applyFont="1" applyAlignment="1">
      <alignment vertical="center"/>
    </xf>
    <xf numFmtId="1" fontId="28" fillId="0" borderId="49" xfId="1" applyNumberFormat="1" applyFont="1" applyBorder="1" applyAlignment="1">
      <alignment horizontal="left" vertical="center" wrapText="1"/>
    </xf>
    <xf numFmtId="0" fontId="28" fillId="0" borderId="0" xfId="1" applyFont="1" applyAlignment="1">
      <alignment horizontal="left" vertical="center"/>
    </xf>
    <xf numFmtId="0" fontId="28" fillId="0" borderId="49" xfId="1" applyFont="1" applyBorder="1" applyAlignment="1">
      <alignment horizontal="center" vertical="center" wrapText="1"/>
    </xf>
    <xf numFmtId="1" fontId="28" fillId="13" borderId="52" xfId="1" applyNumberFormat="1" applyFont="1" applyFill="1" applyBorder="1" applyAlignment="1">
      <alignment horizontal="center" vertical="center" wrapText="1"/>
    </xf>
    <xf numFmtId="0" fontId="28" fillId="0" borderId="0" xfId="1" applyFont="1" applyAlignment="1">
      <alignment horizontal="center" vertical="center" wrapText="1"/>
    </xf>
    <xf numFmtId="0" fontId="28" fillId="0" borderId="55" xfId="1" applyFont="1" applyBorder="1" applyAlignment="1">
      <alignment horizontal="left" vertical="center" wrapText="1"/>
    </xf>
    <xf numFmtId="0" fontId="28" fillId="0" borderId="49" xfId="1" applyFont="1" applyBorder="1" applyAlignment="1">
      <alignment horizontal="left" vertical="center" wrapText="1"/>
    </xf>
    <xf numFmtId="0" fontId="28" fillId="0" borderId="61" xfId="1" applyFont="1" applyBorder="1" applyAlignment="1">
      <alignment horizontal="left" vertical="center" wrapText="1"/>
    </xf>
    <xf numFmtId="0" fontId="21" fillId="13" borderId="54" xfId="1" applyFont="1" applyFill="1" applyBorder="1" applyAlignment="1">
      <alignment horizontal="center" vertical="center"/>
    </xf>
    <xf numFmtId="0" fontId="29" fillId="12" borderId="66" xfId="1" applyFont="1" applyFill="1" applyBorder="1" applyAlignment="1">
      <alignment horizontal="left" vertical="center"/>
    </xf>
    <xf numFmtId="0" fontId="29" fillId="12" borderId="55" xfId="1" applyFont="1" applyFill="1" applyBorder="1" applyAlignment="1">
      <alignment horizontal="left" vertical="center"/>
    </xf>
    <xf numFmtId="1" fontId="28" fillId="13" borderId="49" xfId="1" applyNumberFormat="1" applyFont="1" applyFill="1" applyBorder="1" applyAlignment="1">
      <alignment horizontal="center" vertical="center"/>
    </xf>
    <xf numFmtId="0" fontId="29" fillId="0" borderId="0" xfId="1" applyFont="1" applyAlignment="1">
      <alignment horizontal="left" vertical="center"/>
    </xf>
    <xf numFmtId="0" fontId="29" fillId="0" borderId="0" xfId="1" applyFont="1" applyAlignment="1">
      <alignment vertical="center"/>
    </xf>
    <xf numFmtId="1" fontId="28" fillId="13" borderId="52" xfId="1" applyNumberFormat="1" applyFont="1" applyFill="1" applyBorder="1" applyAlignment="1">
      <alignment horizontal="center" vertical="center"/>
    </xf>
    <xf numFmtId="0" fontId="29" fillId="15" borderId="49" xfId="1" applyFont="1" applyFill="1" applyBorder="1" applyAlignment="1">
      <alignment horizontal="center" vertical="center"/>
    </xf>
    <xf numFmtId="0" fontId="28" fillId="13" borderId="54" xfId="1" applyFont="1" applyFill="1" applyBorder="1" applyAlignment="1">
      <alignment horizontal="center" vertical="center"/>
    </xf>
    <xf numFmtId="164" fontId="28" fillId="15" borderId="49" xfId="1" applyNumberFormat="1" applyFont="1" applyFill="1" applyBorder="1" applyAlignment="1">
      <alignment horizontal="center" vertical="center"/>
    </xf>
    <xf numFmtId="0" fontId="11" fillId="0" borderId="0" xfId="1" applyAlignment="1">
      <alignment wrapText="1"/>
    </xf>
    <xf numFmtId="0" fontId="21" fillId="0" borderId="0" xfId="1" applyFont="1"/>
    <xf numFmtId="0" fontId="11" fillId="0" borderId="0" xfId="1" applyAlignment="1">
      <alignment horizontal="center"/>
    </xf>
    <xf numFmtId="0" fontId="11" fillId="17" borderId="0" xfId="1" applyFill="1"/>
    <xf numFmtId="0" fontId="11" fillId="4" borderId="0" xfId="1" applyFill="1"/>
    <xf numFmtId="0" fontId="11" fillId="3" borderId="0" xfId="1" applyFill="1"/>
    <xf numFmtId="0" fontId="30" fillId="18" borderId="0" xfId="1" applyFont="1" applyFill="1"/>
    <xf numFmtId="0" fontId="11" fillId="18" borderId="0" xfId="1" applyFill="1"/>
    <xf numFmtId="3" fontId="1" fillId="5" borderId="4" xfId="0" applyNumberFormat="1" applyFont="1" applyFill="1" applyBorder="1" applyAlignment="1">
      <alignment horizontal="center"/>
    </xf>
    <xf numFmtId="0" fontId="5" fillId="0" borderId="0" xfId="0" applyFont="1" applyAlignment="1">
      <alignment horizontal="center"/>
    </xf>
    <xf numFmtId="166" fontId="1" fillId="5" borderId="4" xfId="0" applyNumberFormat="1" applyFont="1" applyFill="1" applyBorder="1" applyAlignment="1">
      <alignment horizontal="center"/>
    </xf>
    <xf numFmtId="165" fontId="1" fillId="5" borderId="4" xfId="0" applyNumberFormat="1" applyFont="1" applyFill="1" applyBorder="1" applyAlignment="1">
      <alignment horizontal="center"/>
    </xf>
    <xf numFmtId="164" fontId="0" fillId="0" borderId="7" xfId="0" applyNumberFormat="1" applyBorder="1" applyAlignment="1">
      <alignment horizontal="center"/>
    </xf>
    <xf numFmtId="2" fontId="0" fillId="0" borderId="7" xfId="0" applyNumberFormat="1" applyBorder="1" applyAlignment="1">
      <alignment horizontal="center"/>
    </xf>
    <xf numFmtId="1" fontId="0" fillId="0" borderId="7" xfId="0" applyNumberFormat="1" applyBorder="1" applyAlignment="1">
      <alignment horizontal="center"/>
    </xf>
    <xf numFmtId="1" fontId="0" fillId="0" borderId="19" xfId="0" applyNumberFormat="1" applyBorder="1" applyAlignment="1">
      <alignment horizontal="center"/>
    </xf>
    <xf numFmtId="1" fontId="1" fillId="0" borderId="4" xfId="0" applyNumberFormat="1" applyFont="1" applyBorder="1" applyAlignment="1">
      <alignment horizontal="center"/>
    </xf>
    <xf numFmtId="0" fontId="1" fillId="0" borderId="10" xfId="0" applyFont="1" applyBorder="1" applyAlignment="1">
      <alignment horizontal="center"/>
    </xf>
    <xf numFmtId="1" fontId="1" fillId="0" borderId="30" xfId="0" applyNumberFormat="1" applyFont="1" applyBorder="1" applyAlignment="1">
      <alignment horizontal="center"/>
    </xf>
    <xf numFmtId="0" fontId="32" fillId="0" borderId="5" xfId="0" applyFont="1" applyBorder="1"/>
    <xf numFmtId="0" fontId="0" fillId="0" borderId="9" xfId="0" applyBorder="1"/>
    <xf numFmtId="0" fontId="0" fillId="0" borderId="11" xfId="0" applyBorder="1"/>
    <xf numFmtId="0" fontId="0" fillId="0" borderId="12" xfId="0" applyBorder="1"/>
    <xf numFmtId="0" fontId="0" fillId="0" borderId="15" xfId="0" applyBorder="1"/>
    <xf numFmtId="0" fontId="33" fillId="0" borderId="0" xfId="0" applyFont="1"/>
    <xf numFmtId="0" fontId="0" fillId="20" borderId="67" xfId="0" applyFill="1" applyBorder="1"/>
    <xf numFmtId="0" fontId="0" fillId="20" borderId="76" xfId="0" applyFill="1" applyBorder="1"/>
    <xf numFmtId="0" fontId="0" fillId="20" borderId="77" xfId="0" applyFill="1" applyBorder="1"/>
    <xf numFmtId="0" fontId="0" fillId="20" borderId="13" xfId="0" applyFill="1" applyBorder="1"/>
    <xf numFmtId="0" fontId="0" fillId="20" borderId="16" xfId="0" applyFill="1" applyBorder="1"/>
    <xf numFmtId="0" fontId="0" fillId="20" borderId="22" xfId="0" applyFill="1" applyBorder="1"/>
    <xf numFmtId="0" fontId="0" fillId="21" borderId="78" xfId="0" applyFill="1" applyBorder="1"/>
    <xf numFmtId="0" fontId="0" fillId="21" borderId="34" xfId="0" applyFill="1" applyBorder="1"/>
    <xf numFmtId="0" fontId="0" fillId="21" borderId="35" xfId="0" applyFill="1" applyBorder="1"/>
    <xf numFmtId="0" fontId="0" fillId="21" borderId="79" xfId="0" applyFill="1" applyBorder="1"/>
    <xf numFmtId="0" fontId="0" fillId="21" borderId="45" xfId="0" applyFill="1" applyBorder="1"/>
    <xf numFmtId="0" fontId="0" fillId="21" borderId="80" xfId="0" applyFill="1" applyBorder="1"/>
    <xf numFmtId="0" fontId="0" fillId="21" borderId="29" xfId="0" applyFill="1" applyBorder="1"/>
    <xf numFmtId="0" fontId="0" fillId="21" borderId="10" xfId="0" applyFill="1" applyBorder="1"/>
    <xf numFmtId="0" fontId="0" fillId="21" borderId="81" xfId="0" applyFill="1" applyBorder="1"/>
    <xf numFmtId="0" fontId="0" fillId="21" borderId="82" xfId="0" applyFill="1" applyBorder="1"/>
    <xf numFmtId="0" fontId="0" fillId="0" borderId="80" xfId="0" applyBorder="1"/>
    <xf numFmtId="9" fontId="0" fillId="0" borderId="29" xfId="0" applyNumberFormat="1" applyBorder="1"/>
    <xf numFmtId="9" fontId="0" fillId="0" borderId="10" xfId="0" applyNumberFormat="1" applyBorder="1"/>
    <xf numFmtId="9" fontId="0" fillId="0" borderId="81" xfId="0" applyNumberFormat="1" applyBorder="1"/>
    <xf numFmtId="9" fontId="0" fillId="0" borderId="82" xfId="0" applyNumberFormat="1" applyBorder="1"/>
    <xf numFmtId="9" fontId="0" fillId="0" borderId="29" xfId="2" applyFont="1" applyBorder="1"/>
    <xf numFmtId="9" fontId="0" fillId="0" borderId="10" xfId="2" applyFont="1" applyBorder="1"/>
    <xf numFmtId="9" fontId="0" fillId="0" borderId="81" xfId="2" applyFont="1" applyBorder="1"/>
    <xf numFmtId="9" fontId="0" fillId="0" borderId="82" xfId="2" applyFont="1" applyBorder="1"/>
    <xf numFmtId="0" fontId="0" fillId="22" borderId="83" xfId="0" applyFill="1" applyBorder="1"/>
    <xf numFmtId="164" fontId="11" fillId="22" borderId="32" xfId="2" applyNumberFormat="1" applyFont="1" applyFill="1" applyBorder="1"/>
    <xf numFmtId="164" fontId="11" fillId="22" borderId="33" xfId="2" applyNumberFormat="1" applyFont="1" applyFill="1" applyBorder="1"/>
    <xf numFmtId="164" fontId="11" fillId="22" borderId="84" xfId="2" applyNumberFormat="1" applyFont="1" applyFill="1" applyBorder="1"/>
    <xf numFmtId="164" fontId="11" fillId="22" borderId="85" xfId="2" applyNumberFormat="1" applyFont="1" applyFill="1" applyBorder="1"/>
    <xf numFmtId="0" fontId="11" fillId="22" borderId="83" xfId="0" applyFont="1" applyFill="1" applyBorder="1"/>
    <xf numFmtId="0" fontId="0" fillId="0" borderId="76" xfId="0" applyBorder="1"/>
    <xf numFmtId="0" fontId="0" fillId="0" borderId="77" xfId="0" applyBorder="1"/>
    <xf numFmtId="0" fontId="0" fillId="0" borderId="13" xfId="0" applyBorder="1"/>
    <xf numFmtId="0" fontId="0" fillId="0" borderId="16" xfId="0" applyBorder="1"/>
    <xf numFmtId="0" fontId="0" fillId="0" borderId="22" xfId="0" applyBorder="1"/>
    <xf numFmtId="164" fontId="11" fillId="23" borderId="32" xfId="2" applyNumberFormat="1" applyFont="1" applyFill="1" applyBorder="1"/>
    <xf numFmtId="164" fontId="11" fillId="23" borderId="33" xfId="2" applyNumberFormat="1" applyFont="1" applyFill="1" applyBorder="1"/>
    <xf numFmtId="164" fontId="11" fillId="23" borderId="84" xfId="2" applyNumberFormat="1" applyFont="1" applyFill="1" applyBorder="1"/>
    <xf numFmtId="164" fontId="11" fillId="23" borderId="85" xfId="2" applyNumberFormat="1" applyFont="1" applyFill="1" applyBorder="1"/>
    <xf numFmtId="0" fontId="0" fillId="20" borderId="4" xfId="0" applyFill="1" applyBorder="1" applyAlignment="1">
      <alignment horizontal="center" vertical="center"/>
    </xf>
    <xf numFmtId="0" fontId="0" fillId="19" borderId="0" xfId="0" applyFill="1" applyAlignment="1">
      <alignment horizontal="center" vertical="center"/>
    </xf>
    <xf numFmtId="0" fontId="0" fillId="20" borderId="25" xfId="0" applyFill="1" applyBorder="1"/>
    <xf numFmtId="0" fontId="0" fillId="20" borderId="86" xfId="0" applyFill="1" applyBorder="1"/>
    <xf numFmtId="0" fontId="0" fillId="20" borderId="87" xfId="0" applyFill="1" applyBorder="1"/>
    <xf numFmtId="0" fontId="0" fillId="20" borderId="30" xfId="0" applyFill="1" applyBorder="1"/>
    <xf numFmtId="0" fontId="0" fillId="19" borderId="0" xfId="0" applyFill="1"/>
    <xf numFmtId="9" fontId="0" fillId="0" borderId="28" xfId="0" applyNumberFormat="1" applyBorder="1"/>
    <xf numFmtId="9" fontId="0" fillId="0" borderId="80" xfId="0" applyNumberFormat="1" applyBorder="1"/>
    <xf numFmtId="9" fontId="0" fillId="19" borderId="0" xfId="0" applyNumberFormat="1" applyFill="1"/>
    <xf numFmtId="9" fontId="0" fillId="0" borderId="28" xfId="2" applyFont="1" applyBorder="1"/>
    <xf numFmtId="9" fontId="0" fillId="0" borderId="80" xfId="2" applyFont="1" applyBorder="1"/>
    <xf numFmtId="9" fontId="11" fillId="19" borderId="0" xfId="2" applyFont="1" applyFill="1" applyBorder="1"/>
    <xf numFmtId="0" fontId="0" fillId="0" borderId="41" xfId="0" applyBorder="1"/>
    <xf numFmtId="0" fontId="11" fillId="0" borderId="88" xfId="0" applyFont="1" applyBorder="1"/>
    <xf numFmtId="0" fontId="0" fillId="24" borderId="67" xfId="0" applyFill="1" applyBorder="1"/>
    <xf numFmtId="0" fontId="0" fillId="24" borderId="76" xfId="0" applyFill="1" applyBorder="1"/>
    <xf numFmtId="0" fontId="0" fillId="24" borderId="22" xfId="0" applyFill="1" applyBorder="1"/>
    <xf numFmtId="0" fontId="0" fillId="24" borderId="16" xfId="0" applyFill="1" applyBorder="1"/>
    <xf numFmtId="0" fontId="0" fillId="22" borderId="29" xfId="0" applyFill="1" applyBorder="1"/>
    <xf numFmtId="0" fontId="0" fillId="22" borderId="10" xfId="0" applyFill="1" applyBorder="1"/>
    <xf numFmtId="0" fontId="0" fillId="22" borderId="81" xfId="0" applyFill="1" applyBorder="1"/>
    <xf numFmtId="0" fontId="0" fillId="22" borderId="82" xfId="0" applyFill="1" applyBorder="1"/>
    <xf numFmtId="0" fontId="0" fillId="25" borderId="37" xfId="0" applyFill="1" applyBorder="1"/>
    <xf numFmtId="0" fontId="0" fillId="25" borderId="40" xfId="0" applyFill="1" applyBorder="1"/>
    <xf numFmtId="0" fontId="0" fillId="25" borderId="22" xfId="0" applyFill="1" applyBorder="1"/>
    <xf numFmtId="0" fontId="0" fillId="25" borderId="13" xfId="0" applyFill="1" applyBorder="1"/>
    <xf numFmtId="0" fontId="0" fillId="25" borderId="16" xfId="0" applyFill="1" applyBorder="1"/>
    <xf numFmtId="0" fontId="0" fillId="21" borderId="51" xfId="0" applyFill="1" applyBorder="1"/>
    <xf numFmtId="0" fontId="0" fillId="21" borderId="39" xfId="0" applyFill="1" applyBorder="1"/>
    <xf numFmtId="0" fontId="0" fillId="0" borderId="39" xfId="0" applyBorder="1"/>
    <xf numFmtId="9" fontId="0" fillId="0" borderId="0" xfId="0" applyNumberFormat="1"/>
    <xf numFmtId="0" fontId="11" fillId="22" borderId="69" xfId="0" applyFont="1" applyFill="1" applyBorder="1"/>
    <xf numFmtId="164" fontId="0" fillId="22" borderId="82" xfId="0" applyNumberFormat="1" applyFill="1" applyBorder="1"/>
    <xf numFmtId="164" fontId="0" fillId="22" borderId="10" xfId="0" applyNumberFormat="1" applyFill="1" applyBorder="1"/>
    <xf numFmtId="164" fontId="0" fillId="22" borderId="81" xfId="0" applyNumberFormat="1" applyFill="1" applyBorder="1"/>
    <xf numFmtId="0" fontId="11" fillId="0" borderId="40" xfId="0" applyFont="1" applyBorder="1"/>
    <xf numFmtId="0" fontId="34" fillId="0" borderId="0" xfId="0" applyFont="1"/>
    <xf numFmtId="2" fontId="0" fillId="0" borderId="0" xfId="0" applyNumberFormat="1" applyAlignment="1">
      <alignment horizontal="center"/>
    </xf>
    <xf numFmtId="167" fontId="0" fillId="0" borderId="0" xfId="0" applyNumberFormat="1"/>
    <xf numFmtId="167" fontId="1" fillId="0" borderId="0" xfId="0" applyNumberFormat="1" applyFont="1"/>
    <xf numFmtId="167" fontId="5" fillId="0" borderId="0" xfId="0" applyNumberFormat="1" applyFont="1"/>
    <xf numFmtId="0" fontId="5" fillId="0" borderId="0" xfId="0" applyFont="1" applyAlignment="1">
      <alignment horizontal="right"/>
    </xf>
    <xf numFmtId="0" fontId="35" fillId="0" borderId="0" xfId="0" applyFont="1"/>
    <xf numFmtId="42" fontId="1" fillId="0" borderId="0" xfId="0" applyNumberFormat="1" applyFont="1"/>
    <xf numFmtId="167" fontId="0" fillId="26" borderId="10" xfId="0" applyNumberFormat="1" applyFill="1" applyBorder="1"/>
    <xf numFmtId="0" fontId="0" fillId="26" borderId="10" xfId="0" applyFill="1" applyBorder="1"/>
    <xf numFmtId="3" fontId="0" fillId="26" borderId="10" xfId="0" applyNumberFormat="1" applyFill="1" applyBorder="1"/>
    <xf numFmtId="0" fontId="2" fillId="0" borderId="5" xfId="0" applyFont="1" applyBorder="1"/>
    <xf numFmtId="0" fontId="1" fillId="0" borderId="11" xfId="0" applyFont="1" applyBorder="1"/>
    <xf numFmtId="42" fontId="1" fillId="0" borderId="12" xfId="0" applyNumberFormat="1" applyFont="1" applyBorder="1"/>
    <xf numFmtId="42" fontId="1" fillId="0" borderId="6" xfId="0" applyNumberFormat="1" applyFont="1" applyBorder="1"/>
    <xf numFmtId="0" fontId="0" fillId="0" borderId="0" xfId="0" applyAlignment="1">
      <alignment horizontal="center" vertical="center"/>
    </xf>
    <xf numFmtId="1" fontId="0" fillId="0" borderId="4" xfId="0" applyNumberFormat="1" applyBorder="1" applyAlignment="1">
      <alignment horizontal="left"/>
    </xf>
    <xf numFmtId="0" fontId="0" fillId="0" borderId="0" xfId="0" applyAlignment="1">
      <alignment horizontal="right" wrapText="1"/>
    </xf>
    <xf numFmtId="0" fontId="0" fillId="0" borderId="18" xfId="0" applyBorder="1" applyAlignment="1">
      <alignment horizontal="center" vertical="center"/>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43" xfId="0" applyBorder="1" applyAlignment="1">
      <alignment horizontal="center"/>
    </xf>
    <xf numFmtId="164" fontId="0" fillId="0" borderId="72" xfId="0" applyNumberFormat="1" applyBorder="1" applyAlignment="1">
      <alignment horizontal="center"/>
    </xf>
    <xf numFmtId="164" fontId="0" fillId="0" borderId="73" xfId="0" applyNumberFormat="1" applyBorder="1" applyAlignment="1">
      <alignment horizontal="center"/>
    </xf>
    <xf numFmtId="164" fontId="0" fillId="0" borderId="74" xfId="0" applyNumberFormat="1" applyBorder="1" applyAlignment="1">
      <alignment horizontal="center"/>
    </xf>
    <xf numFmtId="164" fontId="1" fillId="2" borderId="0" xfId="0" applyNumberFormat="1" applyFont="1" applyFill="1" applyAlignment="1" applyProtection="1">
      <alignment horizontal="center"/>
      <protection locked="0"/>
    </xf>
    <xf numFmtId="2" fontId="1" fillId="2" borderId="0" xfId="0" applyNumberFormat="1" applyFont="1" applyFill="1" applyAlignment="1" applyProtection="1">
      <alignment horizontal="center"/>
      <protection locked="0"/>
    </xf>
    <xf numFmtId="0" fontId="0" fillId="0" borderId="20" xfId="0" applyBorder="1" applyAlignment="1">
      <alignment horizontal="center" vertical="center" wrapText="1"/>
    </xf>
    <xf numFmtId="0" fontId="0" fillId="0" borderId="14" xfId="0" applyBorder="1" applyAlignment="1">
      <alignment horizontal="center" vertical="center" wrapText="1"/>
    </xf>
    <xf numFmtId="1" fontId="3" fillId="0" borderId="0" xfId="0" applyNumberFormat="1" applyFont="1" applyAlignment="1">
      <alignment vertical="center" wrapText="1"/>
    </xf>
    <xf numFmtId="0" fontId="0" fillId="0" borderId="0" xfId="0" applyAlignment="1">
      <alignment vertical="center" wrapText="1"/>
    </xf>
    <xf numFmtId="0" fontId="0" fillId="0" borderId="0" xfId="0" applyAlignment="1">
      <alignment horizontal="right" wrapText="1"/>
    </xf>
    <xf numFmtId="0" fontId="1" fillId="6" borderId="0" xfId="0" applyFont="1" applyFill="1" applyAlignment="1">
      <alignment horizontal="right"/>
    </xf>
    <xf numFmtId="0" fontId="1" fillId="0" borderId="17" xfId="0" applyFont="1" applyBorder="1" applyAlignment="1">
      <alignment horizontal="right"/>
    </xf>
    <xf numFmtId="0" fontId="0" fillId="0" borderId="18" xfId="0" applyBorder="1" applyAlignment="1">
      <alignment horizontal="center" vertical="center"/>
    </xf>
    <xf numFmtId="0" fontId="0" fillId="0" borderId="25" xfId="0" applyBorder="1" applyAlignment="1">
      <alignment horizontal="center" vertical="center"/>
    </xf>
    <xf numFmtId="0" fontId="0" fillId="0" borderId="19" xfId="0" applyBorder="1" applyAlignment="1">
      <alignment horizontal="center" vertical="center" wrapText="1"/>
    </xf>
    <xf numFmtId="0" fontId="0" fillId="0" borderId="68"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1" fillId="2" borderId="1" xfId="0" applyFont="1" applyFill="1" applyBorder="1" applyAlignment="1" applyProtection="1">
      <alignment horizontal="center"/>
      <protection locked="0"/>
    </xf>
    <xf numFmtId="0" fontId="0" fillId="0" borderId="2" xfId="0" applyBorder="1" applyProtection="1">
      <protection locked="0"/>
    </xf>
    <xf numFmtId="0" fontId="0" fillId="0" borderId="3" xfId="0" applyBorder="1" applyProtection="1">
      <protection locked="0"/>
    </xf>
    <xf numFmtId="0" fontId="3" fillId="0" borderId="9" xfId="0" applyFont="1" applyBorder="1" applyAlignment="1">
      <alignment wrapText="1"/>
    </xf>
    <xf numFmtId="0" fontId="0" fillId="0" borderId="0" xfId="0" applyAlignment="1">
      <alignment wrapText="1"/>
    </xf>
    <xf numFmtId="0" fontId="0" fillId="0" borderId="0" xfId="0"/>
    <xf numFmtId="0" fontId="9" fillId="4" borderId="31" xfId="0" applyFont="1" applyFill="1" applyBorder="1" applyAlignment="1">
      <alignment horizontal="center" vertical="center" wrapText="1"/>
    </xf>
    <xf numFmtId="0" fontId="0" fillId="0" borderId="32" xfId="0" applyBorder="1" applyAlignment="1">
      <alignment vertical="center"/>
    </xf>
    <xf numFmtId="0" fontId="10" fillId="2" borderId="1" xfId="0" applyFont="1" applyFill="1" applyBorder="1" applyAlignment="1" applyProtection="1">
      <alignment vertical="center" wrapText="1"/>
      <protection locked="0"/>
    </xf>
    <xf numFmtId="0" fontId="0" fillId="2" borderId="3" xfId="0" applyFill="1" applyBorder="1" applyAlignment="1" applyProtection="1">
      <alignment vertical="center"/>
      <protection locked="0"/>
    </xf>
    <xf numFmtId="0" fontId="15" fillId="0" borderId="45" xfId="0" applyFont="1" applyBorder="1" applyAlignment="1">
      <alignment vertical="center" wrapText="1"/>
    </xf>
    <xf numFmtId="0" fontId="15" fillId="0" borderId="71" xfId="0" applyFont="1" applyBorder="1" applyAlignment="1">
      <alignment vertical="center"/>
    </xf>
    <xf numFmtId="0" fontId="15" fillId="0" borderId="22" xfId="0" applyFont="1" applyBorder="1" applyAlignment="1">
      <alignment vertical="center" wrapText="1"/>
    </xf>
    <xf numFmtId="0" fontId="15" fillId="0" borderId="41" xfId="0" applyFont="1" applyBorder="1" applyAlignment="1">
      <alignment vertical="center"/>
    </xf>
    <xf numFmtId="0" fontId="13" fillId="4" borderId="46" xfId="0" applyFont="1" applyFill="1" applyBorder="1" applyAlignment="1">
      <alignment horizontal="center" vertical="center"/>
    </xf>
    <xf numFmtId="0" fontId="0" fillId="0" borderId="47" xfId="0" applyBorder="1" applyAlignment="1">
      <alignment vertical="center"/>
    </xf>
    <xf numFmtId="0" fontId="0" fillId="0" borderId="70" xfId="0" applyBorder="1" applyAlignment="1">
      <alignment vertical="center"/>
    </xf>
    <xf numFmtId="0" fontId="0" fillId="2" borderId="2" xfId="0" applyFill="1" applyBorder="1" applyAlignment="1" applyProtection="1">
      <alignment vertical="center"/>
      <protection locked="0"/>
    </xf>
    <xf numFmtId="0" fontId="15" fillId="0" borderId="21" xfId="0" applyFont="1" applyBorder="1" applyAlignment="1">
      <alignment vertical="center" wrapText="1"/>
    </xf>
    <xf numFmtId="0" fontId="15" fillId="0" borderId="7" xfId="0" applyFont="1" applyBorder="1" applyAlignment="1">
      <alignment vertical="center"/>
    </xf>
    <xf numFmtId="0" fontId="15" fillId="0" borderId="13" xfId="0" applyFont="1" applyBorder="1" applyAlignment="1">
      <alignment vertical="center"/>
    </xf>
    <xf numFmtId="0" fontId="11" fillId="0" borderId="50" xfId="1" applyBorder="1" applyAlignment="1">
      <alignment horizontal="left" vertical="center" wrapText="1"/>
    </xf>
    <xf numFmtId="0" fontId="15" fillId="0" borderId="9" xfId="0" applyFont="1" applyBorder="1" applyAlignment="1">
      <alignment vertical="center" wrapText="1"/>
    </xf>
    <xf numFmtId="0" fontId="0" fillId="0" borderId="36" xfId="0" applyBorder="1" applyAlignment="1">
      <alignment vertical="center"/>
    </xf>
    <xf numFmtId="0" fontId="15" fillId="0" borderId="51" xfId="0" applyFont="1" applyBorder="1" applyAlignment="1">
      <alignment vertical="center" wrapText="1"/>
    </xf>
    <xf numFmtId="0" fontId="0" fillId="0" borderId="34" xfId="0" applyBorder="1" applyAlignment="1">
      <alignment vertical="center"/>
    </xf>
    <xf numFmtId="0" fontId="16" fillId="0" borderId="49" xfId="1" applyFont="1" applyBorder="1" applyAlignment="1">
      <alignment vertical="center" wrapText="1"/>
    </xf>
    <xf numFmtId="0" fontId="21" fillId="0" borderId="49" xfId="1" applyFont="1" applyBorder="1" applyAlignment="1">
      <alignment vertical="center"/>
    </xf>
    <xf numFmtId="0" fontId="9" fillId="4" borderId="5" xfId="0" applyFont="1" applyFill="1" applyBorder="1" applyAlignment="1">
      <alignment horizontal="center" vertical="center" wrapText="1"/>
    </xf>
    <xf numFmtId="0" fontId="0" fillId="0" borderId="24" xfId="0" applyBorder="1" applyAlignment="1">
      <alignment vertical="center"/>
    </xf>
    <xf numFmtId="0" fontId="1" fillId="5" borderId="1" xfId="0" applyFont="1" applyFill="1" applyBorder="1" applyAlignment="1">
      <alignment horizontal="center"/>
    </xf>
    <xf numFmtId="0" fontId="0" fillId="5" borderId="2" xfId="0" applyFill="1" applyBorder="1"/>
    <xf numFmtId="0" fontId="0" fillId="5" borderId="3" xfId="0" applyFill="1" applyBorder="1"/>
    <xf numFmtId="0" fontId="1" fillId="0" borderId="5"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5" xfId="0" applyFont="1" applyBorder="1" applyAlignment="1">
      <alignment horizontal="center" vertical="center" wrapText="1"/>
    </xf>
    <xf numFmtId="164" fontId="1" fillId="2" borderId="1" xfId="0" applyNumberFormat="1" applyFont="1" applyFill="1" applyBorder="1" applyAlignment="1" applyProtection="1">
      <alignment horizontal="center"/>
      <protection locked="0"/>
    </xf>
    <xf numFmtId="164" fontId="1" fillId="2" borderId="3" xfId="0" applyNumberFormat="1" applyFont="1" applyFill="1" applyBorder="1" applyAlignment="1" applyProtection="1">
      <alignment horizontal="center"/>
      <protection locked="0"/>
    </xf>
    <xf numFmtId="164" fontId="1" fillId="0" borderId="1" xfId="0" applyNumberFormat="1" applyFont="1" applyBorder="1" applyAlignment="1">
      <alignment horizontal="center"/>
    </xf>
    <xf numFmtId="164" fontId="1" fillId="0" borderId="3" xfId="0" applyNumberFormat="1" applyFont="1" applyBorder="1" applyAlignment="1">
      <alignment horizontal="center"/>
    </xf>
    <xf numFmtId="0" fontId="1" fillId="5" borderId="5" xfId="0" applyFont="1" applyFill="1" applyBorder="1" applyAlignment="1">
      <alignment horizontal="center" wrapText="1"/>
    </xf>
    <xf numFmtId="0" fontId="1" fillId="5" borderId="27" xfId="0" applyFont="1" applyFill="1" applyBorder="1" applyAlignment="1">
      <alignment horizontal="center" wrapText="1"/>
    </xf>
    <xf numFmtId="0" fontId="1" fillId="5" borderId="11" xfId="0" applyFont="1" applyFill="1" applyBorder="1" applyAlignment="1">
      <alignment horizontal="center" wrapText="1"/>
    </xf>
    <xf numFmtId="0" fontId="1" fillId="5" borderId="15" xfId="0" applyFont="1" applyFill="1" applyBorder="1" applyAlignment="1">
      <alignment horizontal="center" wrapText="1"/>
    </xf>
    <xf numFmtId="0" fontId="1" fillId="5" borderId="0" xfId="0" applyFont="1" applyFill="1" applyAlignment="1">
      <alignment horizontal="right"/>
    </xf>
    <xf numFmtId="0" fontId="1" fillId="5" borderId="17" xfId="0" applyFont="1" applyFill="1" applyBorder="1" applyAlignment="1">
      <alignment horizontal="right"/>
    </xf>
    <xf numFmtId="164" fontId="1" fillId="5" borderId="1" xfId="0" applyNumberFormat="1" applyFont="1" applyFill="1" applyBorder="1" applyAlignment="1">
      <alignment horizontal="center"/>
    </xf>
    <xf numFmtId="164" fontId="1" fillId="5" borderId="3" xfId="0" applyNumberFormat="1" applyFont="1" applyFill="1" applyBorder="1" applyAlignment="1">
      <alignment horizontal="center"/>
    </xf>
    <xf numFmtId="9" fontId="1" fillId="5" borderId="1" xfId="0" applyNumberFormat="1" applyFont="1" applyFill="1" applyBorder="1" applyAlignment="1">
      <alignment horizontal="center"/>
    </xf>
    <xf numFmtId="9" fontId="1" fillId="5" borderId="3" xfId="0" applyNumberFormat="1" applyFont="1" applyFill="1" applyBorder="1" applyAlignment="1">
      <alignment horizontal="center"/>
    </xf>
    <xf numFmtId="0" fontId="0" fillId="0" borderId="17" xfId="0" applyBorder="1" applyAlignment="1">
      <alignment horizontal="right" wrapText="1"/>
    </xf>
    <xf numFmtId="0" fontId="1" fillId="6" borderId="17" xfId="0" applyFont="1" applyFill="1" applyBorder="1" applyAlignment="1">
      <alignment horizontal="right"/>
    </xf>
    <xf numFmtId="0" fontId="0" fillId="0" borderId="17" xfId="0" applyBorder="1" applyAlignment="1">
      <alignment horizontal="right"/>
    </xf>
    <xf numFmtId="2" fontId="1" fillId="5" borderId="1" xfId="0" applyNumberFormat="1" applyFont="1" applyFill="1" applyBorder="1" applyAlignment="1">
      <alignment horizontal="center"/>
    </xf>
    <xf numFmtId="2" fontId="1" fillId="0" borderId="3" xfId="0" applyNumberFormat="1" applyFont="1" applyBorder="1" applyAlignment="1">
      <alignment horizontal="center"/>
    </xf>
    <xf numFmtId="0" fontId="5" fillId="0" borderId="0" xfId="0" applyFont="1" applyAlignment="1">
      <alignment horizontal="center" wrapText="1"/>
    </xf>
    <xf numFmtId="9" fontId="1" fillId="0" borderId="3" xfId="0" applyNumberFormat="1" applyFont="1" applyBorder="1" applyAlignment="1">
      <alignment horizontal="center"/>
    </xf>
    <xf numFmtId="1" fontId="1" fillId="5" borderId="1" xfId="0" applyNumberFormat="1" applyFont="1" applyFill="1" applyBorder="1" applyAlignment="1">
      <alignment horizontal="center"/>
    </xf>
    <xf numFmtId="1" fontId="1" fillId="0" borderId="3" xfId="0" applyNumberFormat="1" applyFont="1" applyBorder="1" applyAlignment="1">
      <alignment horizontal="center"/>
    </xf>
    <xf numFmtId="0" fontId="0" fillId="20" borderId="38" xfId="0" applyFill="1" applyBorder="1" applyAlignment="1">
      <alignment horizontal="center" vertical="center"/>
    </xf>
    <xf numFmtId="0" fontId="0" fillId="20" borderId="7" xfId="0" applyFill="1" applyBorder="1" applyAlignment="1">
      <alignment horizontal="center" vertical="center"/>
    </xf>
    <xf numFmtId="0" fontId="0" fillId="20" borderId="8" xfId="0" applyFill="1" applyBorder="1" applyAlignment="1">
      <alignment horizontal="center" vertical="center"/>
    </xf>
    <xf numFmtId="0" fontId="0" fillId="20" borderId="21" xfId="0" applyFill="1" applyBorder="1" applyAlignment="1">
      <alignment horizontal="center" vertical="center"/>
    </xf>
    <xf numFmtId="0" fontId="28" fillId="0" borderId="9" xfId="0" applyFont="1" applyBorder="1" applyAlignment="1">
      <alignment horizontal="center" vertical="center" wrapText="1"/>
    </xf>
    <xf numFmtId="0" fontId="28" fillId="0" borderId="0" xfId="0" applyFont="1" applyAlignment="1">
      <alignment horizontal="center" vertical="center" wrapText="1"/>
    </xf>
    <xf numFmtId="0" fontId="28" fillId="0" borderId="17" xfId="0" applyFont="1" applyBorder="1" applyAlignment="1">
      <alignment horizontal="center"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6" xfId="0" applyBorder="1" applyAlignment="1">
      <alignment wrapText="1"/>
    </xf>
    <xf numFmtId="0" fontId="0" fillId="0" borderId="27" xfId="0" applyBorder="1" applyAlignment="1">
      <alignment wrapText="1"/>
    </xf>
    <xf numFmtId="0" fontId="0" fillId="0" borderId="9" xfId="0" applyBorder="1" applyAlignment="1">
      <alignment vertical="center" wrapText="1"/>
    </xf>
    <xf numFmtId="0" fontId="0" fillId="0" borderId="17" xfId="0" applyBorder="1" applyAlignment="1">
      <alignment wrapText="1"/>
    </xf>
    <xf numFmtId="0" fontId="0" fillId="0" borderId="11" xfId="0" applyBorder="1" applyAlignment="1">
      <alignment vertical="center" wrapText="1"/>
    </xf>
    <xf numFmtId="0" fontId="0" fillId="0" borderId="12" xfId="0" applyBorder="1" applyAlignment="1">
      <alignment vertical="center" wrapText="1"/>
    </xf>
    <xf numFmtId="0" fontId="0" fillId="0" borderId="12" xfId="0" applyBorder="1" applyAlignment="1">
      <alignment wrapText="1"/>
    </xf>
    <xf numFmtId="0" fontId="0" fillId="0" borderId="15" xfId="0" applyBorder="1" applyAlignment="1">
      <alignment wrapText="1"/>
    </xf>
    <xf numFmtId="0" fontId="0" fillId="25" borderId="21" xfId="0" applyFill="1" applyBorder="1" applyAlignment="1">
      <alignment horizontal="center" vertical="center"/>
    </xf>
    <xf numFmtId="0" fontId="0" fillId="25" borderId="7" xfId="0" applyFill="1" applyBorder="1" applyAlignment="1">
      <alignment horizontal="center" vertical="center"/>
    </xf>
    <xf numFmtId="0" fontId="0" fillId="25" borderId="8" xfId="0" applyFill="1" applyBorder="1" applyAlignment="1">
      <alignment horizontal="center" vertical="center"/>
    </xf>
    <xf numFmtId="0" fontId="0" fillId="0" borderId="0" xfId="0" applyAlignment="1">
      <alignment horizontal="center" vertical="center"/>
    </xf>
    <xf numFmtId="0" fontId="0" fillId="20" borderId="1" xfId="0" applyFill="1" applyBorder="1" applyAlignment="1">
      <alignment horizontal="center" vertical="center"/>
    </xf>
    <xf numFmtId="0" fontId="0" fillId="20" borderId="2" xfId="0" applyFill="1" applyBorder="1" applyAlignment="1">
      <alignment horizontal="center" vertical="center"/>
    </xf>
    <xf numFmtId="0" fontId="0" fillId="20" borderId="3" xfId="0" applyFill="1" applyBorder="1" applyAlignment="1">
      <alignment horizontal="center" vertical="center"/>
    </xf>
    <xf numFmtId="0" fontId="0" fillId="19" borderId="0" xfId="0" applyFill="1" applyAlignment="1">
      <alignment horizontal="center" vertical="center"/>
    </xf>
    <xf numFmtId="0" fontId="0" fillId="24" borderId="37" xfId="0" applyFill="1" applyBorder="1" applyAlignment="1">
      <alignment horizontal="center" vertical="center"/>
    </xf>
    <xf numFmtId="0" fontId="0" fillId="24" borderId="72" xfId="0" applyFill="1" applyBorder="1" applyAlignment="1">
      <alignment horizontal="center" vertical="center"/>
    </xf>
    <xf numFmtId="0" fontId="0" fillId="24" borderId="21" xfId="0" applyFill="1" applyBorder="1" applyAlignment="1">
      <alignment horizontal="center" vertical="center"/>
    </xf>
    <xf numFmtId="0" fontId="0" fillId="24" borderId="8" xfId="0" applyFill="1" applyBorder="1"/>
    <xf numFmtId="0" fontId="0" fillId="0" borderId="0" xfId="0" applyAlignment="1">
      <alignment horizontal="right"/>
    </xf>
    <xf numFmtId="0" fontId="10" fillId="4" borderId="28" xfId="0" applyFont="1" applyFill="1" applyBorder="1" applyAlignment="1">
      <alignment vertical="center" wrapText="1"/>
    </xf>
    <xf numFmtId="0" fontId="0" fillId="0" borderId="29" xfId="0" applyBorder="1" applyAlignment="1">
      <alignment vertical="center"/>
    </xf>
    <xf numFmtId="0" fontId="9" fillId="4" borderId="28" xfId="0" applyFont="1" applyFill="1" applyBorder="1" applyAlignment="1">
      <alignment horizontal="center" vertical="center"/>
    </xf>
    <xf numFmtId="165" fontId="1" fillId="5" borderId="1" xfId="0" applyNumberFormat="1" applyFont="1" applyFill="1" applyBorder="1" applyAlignment="1">
      <alignment horizontal="center"/>
    </xf>
    <xf numFmtId="165" fontId="1" fillId="0" borderId="3" xfId="0" applyNumberFormat="1" applyFont="1" applyBorder="1" applyAlignment="1">
      <alignment horizontal="center"/>
    </xf>
    <xf numFmtId="3" fontId="1" fillId="5" borderId="1" xfId="0" applyNumberFormat="1" applyFont="1" applyFill="1" applyBorder="1" applyAlignment="1">
      <alignment horizontal="center"/>
    </xf>
    <xf numFmtId="3" fontId="1" fillId="0" borderId="3" xfId="0" applyNumberFormat="1" applyFont="1" applyBorder="1" applyAlignment="1">
      <alignment horizontal="center"/>
    </xf>
    <xf numFmtId="1" fontId="5" fillId="0" borderId="8" xfId="0" applyNumberFormat="1" applyFont="1" applyBorder="1" applyAlignment="1">
      <alignment horizontal="center" vertical="center"/>
    </xf>
    <xf numFmtId="1" fontId="5" fillId="0" borderId="16" xfId="0" applyNumberFormat="1" applyFont="1" applyBorder="1" applyAlignment="1">
      <alignment horizontal="center" vertical="center"/>
    </xf>
    <xf numFmtId="0" fontId="22" fillId="12" borderId="0" xfId="1" applyFont="1" applyFill="1" applyAlignment="1">
      <alignment horizontal="left" vertical="center" wrapText="1"/>
    </xf>
    <xf numFmtId="0" fontId="21" fillId="0" borderId="57" xfId="1" applyFont="1" applyBorder="1" applyAlignment="1">
      <alignment horizontal="left" vertical="center" wrapText="1"/>
    </xf>
    <xf numFmtId="0" fontId="0" fillId="0" borderId="58" xfId="0" applyBorder="1" applyAlignment="1">
      <alignment wrapText="1"/>
    </xf>
    <xf numFmtId="0" fontId="11" fillId="0" borderId="59" xfId="1" applyBorder="1" applyAlignment="1">
      <alignment horizontal="left" vertical="center" wrapText="1"/>
    </xf>
    <xf numFmtId="0" fontId="0" fillId="0" borderId="60" xfId="0" applyBorder="1" applyAlignment="1">
      <alignment wrapText="1"/>
    </xf>
    <xf numFmtId="0" fontId="18" fillId="0" borderId="61" xfId="1" applyFont="1" applyBorder="1" applyAlignment="1">
      <alignment wrapText="1"/>
    </xf>
    <xf numFmtId="0" fontId="0" fillId="0" borderId="55" xfId="0" applyBorder="1" applyAlignment="1">
      <alignment wrapText="1"/>
    </xf>
    <xf numFmtId="0" fontId="0" fillId="0" borderId="5" xfId="0" applyBorder="1" applyAlignment="1">
      <alignment horizontal="right" wrapText="1"/>
    </xf>
    <xf numFmtId="0" fontId="0" fillId="0" borderId="6" xfId="0" applyBorder="1" applyAlignment="1">
      <alignment horizontal="right" wrapText="1"/>
    </xf>
    <xf numFmtId="0" fontId="0" fillId="0" borderId="11" xfId="0" applyBorder="1" applyAlignment="1">
      <alignment horizontal="right" wrapText="1"/>
    </xf>
    <xf numFmtId="0" fontId="0" fillId="0" borderId="12" xfId="0" applyBorder="1" applyAlignment="1">
      <alignment horizontal="right" wrapText="1"/>
    </xf>
    <xf numFmtId="1" fontId="5" fillId="0" borderId="7" xfId="0" applyNumberFormat="1" applyFont="1" applyBorder="1" applyAlignment="1">
      <alignment horizontal="center" vertical="center"/>
    </xf>
    <xf numFmtId="1" fontId="5" fillId="0" borderId="13" xfId="0" applyNumberFormat="1" applyFont="1" applyBorder="1" applyAlignment="1">
      <alignment horizontal="center" vertical="center"/>
    </xf>
    <xf numFmtId="0" fontId="18" fillId="0" borderId="55" xfId="1" applyFont="1" applyBorder="1" applyAlignment="1">
      <alignment wrapText="1"/>
    </xf>
    <xf numFmtId="0" fontId="21" fillId="0" borderId="61" xfId="1" applyFont="1" applyBorder="1" applyAlignment="1">
      <alignment horizontal="left" vertical="center" wrapText="1"/>
    </xf>
    <xf numFmtId="0" fontId="11" fillId="0" borderId="61" xfId="1" applyBorder="1" applyAlignment="1">
      <alignment horizontal="left" vertical="center" wrapText="1"/>
    </xf>
    <xf numFmtId="0" fontId="21" fillId="12" borderId="0" xfId="1" applyFont="1" applyFill="1" applyAlignment="1">
      <alignment vertical="center"/>
    </xf>
    <xf numFmtId="0" fontId="16" fillId="0" borderId="0" xfId="1" applyFont="1" applyAlignment="1">
      <alignment vertical="center" wrapText="1"/>
    </xf>
    <xf numFmtId="0" fontId="16" fillId="0" borderId="61" xfId="1" applyFont="1" applyBorder="1" applyAlignment="1">
      <alignment horizontal="left" vertical="center" wrapText="1"/>
    </xf>
    <xf numFmtId="0" fontId="11" fillId="0" borderId="61" xfId="1" applyBorder="1" applyAlignment="1">
      <alignment horizontal="left" vertical="top" wrapText="1"/>
    </xf>
    <xf numFmtId="0" fontId="21" fillId="0" borderId="66" xfId="1" applyFont="1" applyBorder="1" applyAlignment="1">
      <alignment horizontal="center" vertical="center" wrapText="1"/>
    </xf>
    <xf numFmtId="0" fontId="22" fillId="16" borderId="0" xfId="1" applyFont="1" applyFill="1" applyAlignment="1">
      <alignment horizontal="left" vertical="center" wrapText="1"/>
    </xf>
    <xf numFmtId="0" fontId="28" fillId="0" borderId="61" xfId="1" applyFont="1" applyBorder="1" applyAlignment="1">
      <alignment horizontal="center" vertical="center" wrapText="1"/>
    </xf>
    <xf numFmtId="0" fontId="0" fillId="0" borderId="55" xfId="0" applyBorder="1" applyAlignment="1">
      <alignment horizontal="center" vertical="center" wrapText="1"/>
    </xf>
    <xf numFmtId="0" fontId="11" fillId="0" borderId="0" xfId="1" applyAlignment="1">
      <alignment horizontal="center"/>
    </xf>
  </cellXfs>
  <cellStyles count="3">
    <cellStyle name="Normal" xfId="0" builtinId="0"/>
    <cellStyle name="Normal 2" xfId="1" xr:uid="{97412FD5-B381-47EF-A5C9-57B83324D54E}"/>
    <cellStyle name="Pourcentage" xfId="2" builtinId="5"/>
  </cellStyles>
  <dxfs count="0"/>
  <tableStyles count="0" defaultTableStyle="TableStyleMedium2" defaultPivotStyle="PivotStyleLight16"/>
  <colors>
    <mruColors>
      <color rgb="FF00FF00"/>
      <color rgb="FF99FFCC"/>
      <color rgb="FFCCFFCC"/>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fr-FR" b="1">
                <a:solidFill>
                  <a:schemeClr val="tx1"/>
                </a:solidFill>
              </a:rPr>
              <a:t>Répartition</a:t>
            </a:r>
            <a:r>
              <a:rPr lang="fr-FR" b="1" baseline="0">
                <a:solidFill>
                  <a:schemeClr val="tx1"/>
                </a:solidFill>
              </a:rPr>
              <a:t> assolement "Stock-Pâture" (en ha)</a:t>
            </a:r>
          </a:p>
          <a:p>
            <a:pPr>
              <a:defRPr b="1">
                <a:solidFill>
                  <a:schemeClr val="tx1"/>
                </a:solidFill>
              </a:defRPr>
            </a:pPr>
            <a:endParaRPr lang="fr-FR" sz="1000" b="1" i="1">
              <a:solidFill>
                <a:schemeClr val="tx1"/>
              </a:solidFill>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fr-FR"/>
        </a:p>
      </c:txPr>
    </c:title>
    <c:autoTitleDeleted val="0"/>
    <c:plotArea>
      <c:layout>
        <c:manualLayout>
          <c:layoutTarget val="inner"/>
          <c:xMode val="edge"/>
          <c:yMode val="edge"/>
          <c:x val="9.8854332179986057E-2"/>
          <c:y val="0.16814288463558785"/>
          <c:w val="0.68814364577833809"/>
          <c:h val="0.74041390876944668"/>
        </c:manualLayout>
      </c:layout>
      <c:barChart>
        <c:barDir val="col"/>
        <c:grouping val="stacked"/>
        <c:varyColors val="0"/>
        <c:ser>
          <c:idx val="0"/>
          <c:order val="0"/>
          <c:tx>
            <c:strRef>
              <c:f>'Indicateurs Bilan Fourrager'!$A$152</c:f>
              <c:strCache>
                <c:ptCount val="1"/>
                <c:pt idx="0">
                  <c:v>Pâture</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'Indicateurs Bilan Fourrager'!$B$149:$D$151</c:f>
              <c:strCache>
                <c:ptCount val="3"/>
                <c:pt idx="0">
                  <c:v>Printemps</c:v>
                </c:pt>
                <c:pt idx="1">
                  <c:v>Été</c:v>
                </c:pt>
                <c:pt idx="2">
                  <c:v>Automne</c:v>
                </c:pt>
              </c:strCache>
            </c:strRef>
          </c:cat>
          <c:val>
            <c:numRef>
              <c:f>'Indicateurs Bilan Fourrager'!$B$152:$D$152</c:f>
              <c:numCache>
                <c:formatCode>0.00</c:formatCode>
                <c:ptCount val="3"/>
                <c:pt idx="0">
                  <c:v>0</c:v>
                </c:pt>
                <c:pt idx="1">
                  <c:v>0</c:v>
                </c:pt>
                <c:pt idx="2">
                  <c:v>0</c:v>
                </c:pt>
              </c:numCache>
            </c:numRef>
          </c:val>
          <c:extLst>
            <c:ext xmlns:c16="http://schemas.microsoft.com/office/drawing/2014/chart" uri="{C3380CC4-5D6E-409C-BE32-E72D297353CC}">
              <c16:uniqueId val="{00000000-0D96-4335-857A-03DBA2F03D39}"/>
            </c:ext>
          </c:extLst>
        </c:ser>
        <c:ser>
          <c:idx val="1"/>
          <c:order val="1"/>
          <c:tx>
            <c:strRef>
              <c:f>'Indicateurs Bilan Fourrager'!$A$153</c:f>
              <c:strCache>
                <c:ptCount val="1"/>
                <c:pt idx="0">
                  <c:v>Fauche</c:v>
                </c:pt>
              </c:strCache>
            </c:strRef>
          </c:tx>
          <c:spPr>
            <a:solidFill>
              <a:srgbClr val="99FFC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'Indicateurs Bilan Fourrager'!$B$149:$D$151</c:f>
              <c:strCache>
                <c:ptCount val="3"/>
                <c:pt idx="0">
                  <c:v>Printemps</c:v>
                </c:pt>
                <c:pt idx="1">
                  <c:v>Été</c:v>
                </c:pt>
                <c:pt idx="2">
                  <c:v>Automne</c:v>
                </c:pt>
              </c:strCache>
            </c:strRef>
          </c:cat>
          <c:val>
            <c:numRef>
              <c:f>'Indicateurs Bilan Fourrager'!$B$153:$D$153</c:f>
              <c:numCache>
                <c:formatCode>0.00</c:formatCode>
                <c:ptCount val="3"/>
                <c:pt idx="0">
                  <c:v>0</c:v>
                </c:pt>
                <c:pt idx="1">
                  <c:v>0</c:v>
                </c:pt>
                <c:pt idx="2">
                  <c:v>0</c:v>
                </c:pt>
              </c:numCache>
            </c:numRef>
          </c:val>
          <c:extLst>
            <c:ext xmlns:c16="http://schemas.microsoft.com/office/drawing/2014/chart" uri="{C3380CC4-5D6E-409C-BE32-E72D297353CC}">
              <c16:uniqueId val="{00000001-0D96-4335-857A-03DBA2F03D39}"/>
            </c:ext>
          </c:extLst>
        </c:ser>
        <c:ser>
          <c:idx val="3"/>
          <c:order val="2"/>
          <c:tx>
            <c:strRef>
              <c:f>'Indicateurs Bilan Fourrager'!$A$154</c:f>
              <c:strCache>
                <c:ptCount val="1"/>
                <c:pt idx="0">
                  <c:v>Maïs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'Indicateurs Bilan Fourrager'!$B$149:$D$151</c:f>
              <c:strCache>
                <c:ptCount val="3"/>
                <c:pt idx="0">
                  <c:v>Printemps</c:v>
                </c:pt>
                <c:pt idx="1">
                  <c:v>Été</c:v>
                </c:pt>
                <c:pt idx="2">
                  <c:v>Automne</c:v>
                </c:pt>
              </c:strCache>
            </c:strRef>
          </c:cat>
          <c:val>
            <c:numRef>
              <c:f>'Indicateurs Bilan Fourrager'!$B$154:$D$154</c:f>
              <c:numCache>
                <c:formatCode>0.00</c:formatCode>
                <c:ptCount val="3"/>
                <c:pt idx="0">
                  <c:v>0</c:v>
                </c:pt>
                <c:pt idx="1">
                  <c:v>0</c:v>
                </c:pt>
                <c:pt idx="2">
                  <c:v>0</c:v>
                </c:pt>
              </c:numCache>
            </c:numRef>
          </c:val>
          <c:extLst>
            <c:ext xmlns:c16="http://schemas.microsoft.com/office/drawing/2014/chart" uri="{C3380CC4-5D6E-409C-BE32-E72D297353CC}">
              <c16:uniqueId val="{00000003-0D96-4335-857A-03DBA2F03D39}"/>
            </c:ext>
          </c:extLst>
        </c:ser>
        <c:ser>
          <c:idx val="2"/>
          <c:order val="3"/>
          <c:tx>
            <c:strRef>
              <c:f>'Indicateurs Bilan Fourrager'!$A$156</c:f>
              <c:strCache>
                <c:ptCount val="1"/>
                <c:pt idx="0">
                  <c:v>Cultures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'Indicateurs Bilan Fourrager'!$B$156:$D$156</c:f>
              <c:numCache>
                <c:formatCode>0.00</c:formatCode>
                <c:ptCount val="3"/>
                <c:pt idx="0">
                  <c:v>0</c:v>
                </c:pt>
                <c:pt idx="1">
                  <c:v>0</c:v>
                </c:pt>
                <c:pt idx="2">
                  <c:v>0</c:v>
                </c:pt>
              </c:numCache>
            </c:numRef>
          </c:val>
          <c:extLst>
            <c:ext xmlns:c16="http://schemas.microsoft.com/office/drawing/2014/chart" uri="{C3380CC4-5D6E-409C-BE32-E72D297353CC}">
              <c16:uniqueId val="{00000005-878E-420B-8E97-2532A6ECACE6}"/>
            </c:ext>
          </c:extLst>
        </c:ser>
        <c:ser>
          <c:idx val="4"/>
          <c:order val="4"/>
          <c:tx>
            <c:strRef>
              <c:f>'Indicateurs Bilan Fourrager'!$A$157</c:f>
              <c:strCache>
                <c:ptCount val="1"/>
              </c:strCache>
            </c:strRef>
          </c:tx>
          <c:spPr>
            <a:noFill/>
            <a:ln>
              <a:noFill/>
            </a:ln>
            <a:effectLst/>
          </c:spPr>
          <c:invertIfNegative val="0"/>
          <c:val>
            <c:numRef>
              <c:f>'Indicateurs Bilan Fourrager'!$B$157:$D$157</c:f>
              <c:numCache>
                <c:formatCode>0.00</c:formatCode>
                <c:ptCount val="3"/>
                <c:pt idx="0">
                  <c:v>5</c:v>
                </c:pt>
                <c:pt idx="1">
                  <c:v>5</c:v>
                </c:pt>
                <c:pt idx="2">
                  <c:v>5</c:v>
                </c:pt>
              </c:numCache>
            </c:numRef>
          </c:val>
          <c:extLst>
            <c:ext xmlns:c16="http://schemas.microsoft.com/office/drawing/2014/chart" uri="{C3380CC4-5D6E-409C-BE32-E72D297353CC}">
              <c16:uniqueId val="{00000006-878E-420B-8E97-2532A6ECACE6}"/>
            </c:ext>
          </c:extLst>
        </c:ser>
        <c:ser>
          <c:idx val="5"/>
          <c:order val="5"/>
          <c:tx>
            <c:strRef>
              <c:f>'Indicateurs Bilan Fourrager'!$A$158</c:f>
              <c:strCache>
                <c:ptCount val="1"/>
                <c:pt idx="0">
                  <c:v>Dérobées</c:v>
                </c:pt>
              </c:strCache>
            </c:strRef>
          </c:tx>
          <c:spPr>
            <a:solidFill>
              <a:schemeClr val="accent6"/>
            </a:solidFill>
            <a:ln>
              <a:noFill/>
            </a:ln>
            <a:effectLst/>
          </c:spPr>
          <c:invertIfNegative val="0"/>
          <c:dLbls>
            <c:dLbl>
              <c:idx val="0"/>
              <c:tx>
                <c:rich>
                  <a:bodyPr/>
                  <a:lstStyle/>
                  <a:p>
                    <a:fld id="{3BA2C470-BBCA-49BB-B5BE-457DCF091A0C}" type="SERIESNAME">
                      <a:rPr lang="en-US">
                        <a:solidFill>
                          <a:schemeClr val="bg1"/>
                        </a:solidFill>
                      </a:rPr>
                      <a:pPr/>
                      <a:t>[NOM DE SÉRIE]</a:t>
                    </a:fld>
                    <a:endParaRPr lang="fr-FR"/>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878E-420B-8E97-2532A6ECACE6}"/>
                </c:ext>
              </c:extLst>
            </c:dLbl>
            <c:dLbl>
              <c:idx val="1"/>
              <c:tx>
                <c:rich>
                  <a:bodyPr/>
                  <a:lstStyle/>
                  <a:p>
                    <a:fld id="{1E0308A5-0084-42D1-84A6-184E0D525476}" type="SERIESNAME">
                      <a:rPr lang="en-US">
                        <a:solidFill>
                          <a:schemeClr val="bg1"/>
                        </a:solidFill>
                      </a:rPr>
                      <a:pPr/>
                      <a:t>[NOM DE SÉRIE]</a:t>
                    </a:fld>
                    <a:endParaRPr lang="fr-FR"/>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878E-420B-8E97-2532A6ECACE6}"/>
                </c:ext>
              </c:extLst>
            </c:dLbl>
            <c:dLbl>
              <c:idx val="2"/>
              <c:tx>
                <c:rich>
                  <a:bodyPr/>
                  <a:lstStyle/>
                  <a:p>
                    <a:fld id="{7E544097-83E3-4B34-85D5-E669482ACB24}" type="SERIESNAME">
                      <a:rPr lang="en-US">
                        <a:solidFill>
                          <a:schemeClr val="bg1"/>
                        </a:solidFill>
                      </a:rPr>
                      <a:pPr/>
                      <a:t>[NOM DE SÉRIE]</a:t>
                    </a:fld>
                    <a:endParaRPr lang="fr-FR"/>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878E-420B-8E97-2532A6ECACE6}"/>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'Indicateurs Bilan Fourrager'!$B$158:$D$158</c:f>
              <c:numCache>
                <c:formatCode>0.00</c:formatCode>
                <c:ptCount val="3"/>
                <c:pt idx="0">
                  <c:v>0</c:v>
                </c:pt>
                <c:pt idx="1">
                  <c:v>0</c:v>
                </c:pt>
                <c:pt idx="2">
                  <c:v>0</c:v>
                </c:pt>
              </c:numCache>
            </c:numRef>
          </c:val>
          <c:extLst>
            <c:ext xmlns:c16="http://schemas.microsoft.com/office/drawing/2014/chart" uri="{C3380CC4-5D6E-409C-BE32-E72D297353CC}">
              <c16:uniqueId val="{00000007-878E-420B-8E97-2532A6ECACE6}"/>
            </c:ext>
          </c:extLst>
        </c:ser>
        <c:dLbls>
          <c:showLegendKey val="0"/>
          <c:showVal val="0"/>
          <c:showCatName val="0"/>
          <c:showSerName val="0"/>
          <c:showPercent val="0"/>
          <c:showBubbleSize val="0"/>
        </c:dLbls>
        <c:gapWidth val="0"/>
        <c:overlap val="100"/>
        <c:axId val="173387760"/>
        <c:axId val="1905990448"/>
      </c:barChart>
      <c:catAx>
        <c:axId val="173387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fr-FR"/>
          </a:p>
        </c:txPr>
        <c:crossAx val="1905990448"/>
        <c:crosses val="autoZero"/>
        <c:auto val="1"/>
        <c:lblAlgn val="ctr"/>
        <c:lblOffset val="100"/>
        <c:noMultiLvlLbl val="0"/>
      </c:catAx>
      <c:valAx>
        <c:axId val="190599044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1" i="1" u="none" strike="noStrike" kern="1200" baseline="0">
                <a:solidFill>
                  <a:schemeClr val="tx1">
                    <a:lumMod val="65000"/>
                    <a:lumOff val="35000"/>
                  </a:schemeClr>
                </a:solidFill>
                <a:latin typeface="+mn-lt"/>
                <a:ea typeface="+mn-ea"/>
                <a:cs typeface="+mn-cs"/>
              </a:defRPr>
            </a:pPr>
            <a:endParaRPr lang="fr-FR"/>
          </a:p>
        </c:txPr>
        <c:crossAx val="17338776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667568</xdr:colOff>
      <xdr:row>0</xdr:row>
      <xdr:rowOff>137424</xdr:rowOff>
    </xdr:from>
    <xdr:to>
      <xdr:col>7</xdr:col>
      <xdr:colOff>26428</xdr:colOff>
      <xdr:row>4</xdr:row>
      <xdr:rowOff>169137</xdr:rowOff>
    </xdr:to>
    <xdr:sp macro="" textlink="">
      <xdr:nvSpPr>
        <xdr:cNvPr id="2" name="ZoneTexte 1">
          <a:extLst>
            <a:ext uri="{FF2B5EF4-FFF2-40B4-BE49-F238E27FC236}">
              <a16:creationId xmlns:a16="http://schemas.microsoft.com/office/drawing/2014/main" id="{DD533B4F-DAAF-42AE-9C50-37C2E2C5201A}"/>
            </a:ext>
          </a:extLst>
        </xdr:cNvPr>
        <xdr:cNvSpPr txBox="1"/>
      </xdr:nvSpPr>
      <xdr:spPr>
        <a:xfrm>
          <a:off x="667568" y="137424"/>
          <a:ext cx="4744835" cy="7505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i="0"/>
            <a:t>Saisie</a:t>
          </a:r>
          <a:r>
            <a:rPr lang="fr-FR" sz="1600" b="1" i="0" baseline="0"/>
            <a:t> des éléments nécessaires au calcul des indicateurs RESYF</a:t>
          </a:r>
          <a:endParaRPr lang="fr-FR" sz="1200" b="1" i="1"/>
        </a:p>
      </xdr:txBody>
    </xdr:sp>
    <xdr:clientData/>
  </xdr:twoCellAnchor>
  <xdr:twoCellAnchor>
    <xdr:from>
      <xdr:col>3</xdr:col>
      <xdr:colOff>253590</xdr:colOff>
      <xdr:row>77</xdr:row>
      <xdr:rowOff>137670</xdr:rowOff>
    </xdr:from>
    <xdr:to>
      <xdr:col>4</xdr:col>
      <xdr:colOff>758530</xdr:colOff>
      <xdr:row>78</xdr:row>
      <xdr:rowOff>51871</xdr:rowOff>
    </xdr:to>
    <xdr:sp macro="" textlink="">
      <xdr:nvSpPr>
        <xdr:cNvPr id="10" name="Flèche droite 2">
          <a:extLst>
            <a:ext uri="{FF2B5EF4-FFF2-40B4-BE49-F238E27FC236}">
              <a16:creationId xmlns:a16="http://schemas.microsoft.com/office/drawing/2014/main" id="{634CB4A0-40BD-4123-994F-A3FAA68C15C5}"/>
            </a:ext>
          </a:extLst>
        </xdr:cNvPr>
        <xdr:cNvSpPr/>
      </xdr:nvSpPr>
      <xdr:spPr>
        <a:xfrm rot="21095790" flipV="1">
          <a:off x="3736767" y="8869397"/>
          <a:ext cx="1207918" cy="1414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163852</xdr:colOff>
      <xdr:row>92</xdr:row>
      <xdr:rowOff>110996</xdr:rowOff>
    </xdr:from>
    <xdr:to>
      <xdr:col>7</xdr:col>
      <xdr:colOff>454557</xdr:colOff>
      <xdr:row>95</xdr:row>
      <xdr:rowOff>121567</xdr:rowOff>
    </xdr:to>
    <xdr:sp macro="" textlink="">
      <xdr:nvSpPr>
        <xdr:cNvPr id="16" name="ZoneTexte 15">
          <a:extLst>
            <a:ext uri="{FF2B5EF4-FFF2-40B4-BE49-F238E27FC236}">
              <a16:creationId xmlns:a16="http://schemas.microsoft.com/office/drawing/2014/main" id="{04D5A5C2-F569-4CD1-BE3A-92D3DCA985A2}"/>
            </a:ext>
          </a:extLst>
        </xdr:cNvPr>
        <xdr:cNvSpPr txBox="1"/>
      </xdr:nvSpPr>
      <xdr:spPr>
        <a:xfrm>
          <a:off x="163852" y="31438446"/>
          <a:ext cx="7087921" cy="6131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Le</a:t>
          </a:r>
          <a:r>
            <a:rPr lang="fr-FR" sz="1100" baseline="0"/>
            <a:t> calcul des stocks disponibles peut être réalisé de 2 manières différentes : Soit à partir des récoltes (surfaces x rendements), soit à partir de l'estimation des stocks (nb de bottes, m3 d'ensilage x poids unitaires)</a:t>
          </a:r>
          <a:endParaRPr lang="fr-FR" sz="1100"/>
        </a:p>
      </xdr:txBody>
    </xdr:sp>
    <xdr:clientData/>
  </xdr:twoCellAnchor>
  <xdr:twoCellAnchor>
    <xdr:from>
      <xdr:col>3</xdr:col>
      <xdr:colOff>268565</xdr:colOff>
      <xdr:row>78</xdr:row>
      <xdr:rowOff>99790</xdr:rowOff>
    </xdr:from>
    <xdr:to>
      <xdr:col>4</xdr:col>
      <xdr:colOff>773505</xdr:colOff>
      <xdr:row>78</xdr:row>
      <xdr:rowOff>241270</xdr:rowOff>
    </xdr:to>
    <xdr:sp macro="" textlink="">
      <xdr:nvSpPr>
        <xdr:cNvPr id="17" name="Flèche droite 2">
          <a:extLst>
            <a:ext uri="{FF2B5EF4-FFF2-40B4-BE49-F238E27FC236}">
              <a16:creationId xmlns:a16="http://schemas.microsoft.com/office/drawing/2014/main" id="{1617B750-350B-45EF-B806-E3A7C32B5F37}"/>
            </a:ext>
          </a:extLst>
        </xdr:cNvPr>
        <xdr:cNvSpPr/>
      </xdr:nvSpPr>
      <xdr:spPr>
        <a:xfrm flipV="1">
          <a:off x="3910308" y="13054671"/>
          <a:ext cx="1207918" cy="1414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272970</xdr:colOff>
      <xdr:row>78</xdr:row>
      <xdr:rowOff>299759</xdr:rowOff>
    </xdr:from>
    <xdr:to>
      <xdr:col>4</xdr:col>
      <xdr:colOff>777910</xdr:colOff>
      <xdr:row>79</xdr:row>
      <xdr:rowOff>81822</xdr:rowOff>
    </xdr:to>
    <xdr:sp macro="" textlink="">
      <xdr:nvSpPr>
        <xdr:cNvPr id="18" name="Flèche droite 2">
          <a:extLst>
            <a:ext uri="{FF2B5EF4-FFF2-40B4-BE49-F238E27FC236}">
              <a16:creationId xmlns:a16="http://schemas.microsoft.com/office/drawing/2014/main" id="{4A4D5804-9040-4178-91F2-3385D20B1BD9}"/>
            </a:ext>
          </a:extLst>
        </xdr:cNvPr>
        <xdr:cNvSpPr/>
      </xdr:nvSpPr>
      <xdr:spPr>
        <a:xfrm rot="547277" flipV="1">
          <a:off x="3914713" y="13254640"/>
          <a:ext cx="1207918" cy="1414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318895</xdr:colOff>
      <xdr:row>83</xdr:row>
      <xdr:rowOff>100425</xdr:rowOff>
    </xdr:from>
    <xdr:to>
      <xdr:col>4</xdr:col>
      <xdr:colOff>823835</xdr:colOff>
      <xdr:row>84</xdr:row>
      <xdr:rowOff>14627</xdr:rowOff>
    </xdr:to>
    <xdr:sp macro="" textlink="">
      <xdr:nvSpPr>
        <xdr:cNvPr id="22" name="Flèche droite 2">
          <a:extLst>
            <a:ext uri="{FF2B5EF4-FFF2-40B4-BE49-F238E27FC236}">
              <a16:creationId xmlns:a16="http://schemas.microsoft.com/office/drawing/2014/main" id="{F1D9C7D9-A039-47E3-B3AC-FD6E46160A8E}"/>
            </a:ext>
          </a:extLst>
        </xdr:cNvPr>
        <xdr:cNvSpPr/>
      </xdr:nvSpPr>
      <xdr:spPr>
        <a:xfrm rot="21095790" flipV="1">
          <a:off x="3802072" y="9741267"/>
          <a:ext cx="1207918" cy="1414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333870</xdr:colOff>
      <xdr:row>84</xdr:row>
      <xdr:rowOff>36118</xdr:rowOff>
    </xdr:from>
    <xdr:to>
      <xdr:col>4</xdr:col>
      <xdr:colOff>838810</xdr:colOff>
      <xdr:row>84</xdr:row>
      <xdr:rowOff>177598</xdr:rowOff>
    </xdr:to>
    <xdr:sp macro="" textlink="">
      <xdr:nvSpPr>
        <xdr:cNvPr id="23" name="Flèche droite 2">
          <a:extLst>
            <a:ext uri="{FF2B5EF4-FFF2-40B4-BE49-F238E27FC236}">
              <a16:creationId xmlns:a16="http://schemas.microsoft.com/office/drawing/2014/main" id="{62C2D5CE-2D3C-4485-B08B-31CD35D96E5E}"/>
            </a:ext>
          </a:extLst>
        </xdr:cNvPr>
        <xdr:cNvSpPr/>
      </xdr:nvSpPr>
      <xdr:spPr>
        <a:xfrm flipV="1">
          <a:off x="3817047" y="9904238"/>
          <a:ext cx="1207918" cy="1414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311847</xdr:colOff>
      <xdr:row>84</xdr:row>
      <xdr:rowOff>204375</xdr:rowOff>
    </xdr:from>
    <xdr:to>
      <xdr:col>4</xdr:col>
      <xdr:colOff>816787</xdr:colOff>
      <xdr:row>85</xdr:row>
      <xdr:rowOff>118576</xdr:rowOff>
    </xdr:to>
    <xdr:sp macro="" textlink="">
      <xdr:nvSpPr>
        <xdr:cNvPr id="24" name="Flèche droite 2">
          <a:extLst>
            <a:ext uri="{FF2B5EF4-FFF2-40B4-BE49-F238E27FC236}">
              <a16:creationId xmlns:a16="http://schemas.microsoft.com/office/drawing/2014/main" id="{39B7357D-5E75-4647-9973-E4A9EFEF7C9D}"/>
            </a:ext>
          </a:extLst>
        </xdr:cNvPr>
        <xdr:cNvSpPr/>
      </xdr:nvSpPr>
      <xdr:spPr>
        <a:xfrm rot="547277" flipV="1">
          <a:off x="3795024" y="10072495"/>
          <a:ext cx="1207918" cy="1414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339156</xdr:colOff>
      <xdr:row>88</xdr:row>
      <xdr:rowOff>153281</xdr:rowOff>
    </xdr:from>
    <xdr:to>
      <xdr:col>4</xdr:col>
      <xdr:colOff>844096</xdr:colOff>
      <xdr:row>88</xdr:row>
      <xdr:rowOff>294761</xdr:rowOff>
    </xdr:to>
    <xdr:sp macro="" textlink="">
      <xdr:nvSpPr>
        <xdr:cNvPr id="7" name="Flèche droite 2">
          <a:extLst>
            <a:ext uri="{FF2B5EF4-FFF2-40B4-BE49-F238E27FC236}">
              <a16:creationId xmlns:a16="http://schemas.microsoft.com/office/drawing/2014/main" id="{7D99E8FD-E27F-47AC-BEF2-7EF002A0908B}"/>
            </a:ext>
          </a:extLst>
        </xdr:cNvPr>
        <xdr:cNvSpPr/>
      </xdr:nvSpPr>
      <xdr:spPr>
        <a:xfrm flipV="1">
          <a:off x="3980899" y="15576513"/>
          <a:ext cx="1207918" cy="1414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317133</xdr:colOff>
      <xdr:row>88</xdr:row>
      <xdr:rowOff>321538</xdr:rowOff>
    </xdr:from>
    <xdr:to>
      <xdr:col>4</xdr:col>
      <xdr:colOff>822073</xdr:colOff>
      <xdr:row>89</xdr:row>
      <xdr:rowOff>82457</xdr:rowOff>
    </xdr:to>
    <xdr:sp macro="" textlink="">
      <xdr:nvSpPr>
        <xdr:cNvPr id="8" name="Flèche droite 2">
          <a:extLst>
            <a:ext uri="{FF2B5EF4-FFF2-40B4-BE49-F238E27FC236}">
              <a16:creationId xmlns:a16="http://schemas.microsoft.com/office/drawing/2014/main" id="{BBEAA58B-6E00-4142-B932-888DC84B221E}"/>
            </a:ext>
          </a:extLst>
        </xdr:cNvPr>
        <xdr:cNvSpPr/>
      </xdr:nvSpPr>
      <xdr:spPr>
        <a:xfrm rot="547277" flipV="1">
          <a:off x="3958876" y="15744770"/>
          <a:ext cx="1207918" cy="14147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253590</xdr:colOff>
      <xdr:row>77</xdr:row>
      <xdr:rowOff>137670</xdr:rowOff>
    </xdr:from>
    <xdr:to>
      <xdr:col>4</xdr:col>
      <xdr:colOff>758530</xdr:colOff>
      <xdr:row>78</xdr:row>
      <xdr:rowOff>51871</xdr:rowOff>
    </xdr:to>
    <xdr:sp macro="" textlink="">
      <xdr:nvSpPr>
        <xdr:cNvPr id="3" name="Flèche droite 2">
          <a:extLst>
            <a:ext uri="{FF2B5EF4-FFF2-40B4-BE49-F238E27FC236}">
              <a16:creationId xmlns:a16="http://schemas.microsoft.com/office/drawing/2014/main" id="{AC9D1913-F522-4EA4-A49C-676683A6F289}"/>
            </a:ext>
          </a:extLst>
        </xdr:cNvPr>
        <xdr:cNvSpPr/>
      </xdr:nvSpPr>
      <xdr:spPr>
        <a:xfrm rot="21095790" flipV="1">
          <a:off x="3888330" y="15560550"/>
          <a:ext cx="1205980" cy="1428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268565</xdr:colOff>
      <xdr:row>78</xdr:row>
      <xdr:rowOff>99790</xdr:rowOff>
    </xdr:from>
    <xdr:to>
      <xdr:col>4</xdr:col>
      <xdr:colOff>773505</xdr:colOff>
      <xdr:row>78</xdr:row>
      <xdr:rowOff>241270</xdr:rowOff>
    </xdr:to>
    <xdr:sp macro="" textlink="">
      <xdr:nvSpPr>
        <xdr:cNvPr id="4" name="Flèche droite 2">
          <a:extLst>
            <a:ext uri="{FF2B5EF4-FFF2-40B4-BE49-F238E27FC236}">
              <a16:creationId xmlns:a16="http://schemas.microsoft.com/office/drawing/2014/main" id="{A05B3724-5DE4-48A5-9C6F-339532422B85}"/>
            </a:ext>
          </a:extLst>
        </xdr:cNvPr>
        <xdr:cNvSpPr/>
      </xdr:nvSpPr>
      <xdr:spPr>
        <a:xfrm flipV="1">
          <a:off x="3903305" y="15751270"/>
          <a:ext cx="1205980" cy="1414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272970</xdr:colOff>
      <xdr:row>78</xdr:row>
      <xdr:rowOff>299759</xdr:rowOff>
    </xdr:from>
    <xdr:to>
      <xdr:col>4</xdr:col>
      <xdr:colOff>777910</xdr:colOff>
      <xdr:row>79</xdr:row>
      <xdr:rowOff>81822</xdr:rowOff>
    </xdr:to>
    <xdr:sp macro="" textlink="">
      <xdr:nvSpPr>
        <xdr:cNvPr id="5" name="Flèche droite 2">
          <a:extLst>
            <a:ext uri="{FF2B5EF4-FFF2-40B4-BE49-F238E27FC236}">
              <a16:creationId xmlns:a16="http://schemas.microsoft.com/office/drawing/2014/main" id="{6FD76C6D-29EE-4020-AD62-4B432DA111F4}"/>
            </a:ext>
          </a:extLst>
        </xdr:cNvPr>
        <xdr:cNvSpPr/>
      </xdr:nvSpPr>
      <xdr:spPr>
        <a:xfrm rot="547277" flipV="1">
          <a:off x="3907710" y="15951239"/>
          <a:ext cx="1205980" cy="14020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318895</xdr:colOff>
      <xdr:row>83</xdr:row>
      <xdr:rowOff>100425</xdr:rowOff>
    </xdr:from>
    <xdr:to>
      <xdr:col>4</xdr:col>
      <xdr:colOff>823835</xdr:colOff>
      <xdr:row>84</xdr:row>
      <xdr:rowOff>14627</xdr:rowOff>
    </xdr:to>
    <xdr:sp macro="" textlink="">
      <xdr:nvSpPr>
        <xdr:cNvPr id="6" name="Flèche droite 2">
          <a:extLst>
            <a:ext uri="{FF2B5EF4-FFF2-40B4-BE49-F238E27FC236}">
              <a16:creationId xmlns:a16="http://schemas.microsoft.com/office/drawing/2014/main" id="{53D177D9-CF04-4AFF-AFAD-E14525AF6950}"/>
            </a:ext>
          </a:extLst>
        </xdr:cNvPr>
        <xdr:cNvSpPr/>
      </xdr:nvSpPr>
      <xdr:spPr>
        <a:xfrm rot="21095790" flipV="1">
          <a:off x="3953635" y="17169225"/>
          <a:ext cx="1205980" cy="14280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333870</xdr:colOff>
      <xdr:row>84</xdr:row>
      <xdr:rowOff>36118</xdr:rowOff>
    </xdr:from>
    <xdr:to>
      <xdr:col>4</xdr:col>
      <xdr:colOff>838810</xdr:colOff>
      <xdr:row>84</xdr:row>
      <xdr:rowOff>177598</xdr:rowOff>
    </xdr:to>
    <xdr:sp macro="" textlink="">
      <xdr:nvSpPr>
        <xdr:cNvPr id="9" name="Flèche droite 2">
          <a:extLst>
            <a:ext uri="{FF2B5EF4-FFF2-40B4-BE49-F238E27FC236}">
              <a16:creationId xmlns:a16="http://schemas.microsoft.com/office/drawing/2014/main" id="{52D5103B-821D-480D-8B0E-CE7E0EA8FD0E}"/>
            </a:ext>
          </a:extLst>
        </xdr:cNvPr>
        <xdr:cNvSpPr/>
      </xdr:nvSpPr>
      <xdr:spPr>
        <a:xfrm flipV="1">
          <a:off x="3968610" y="17333518"/>
          <a:ext cx="1205980" cy="1414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311847</xdr:colOff>
      <xdr:row>84</xdr:row>
      <xdr:rowOff>204375</xdr:rowOff>
    </xdr:from>
    <xdr:to>
      <xdr:col>4</xdr:col>
      <xdr:colOff>816787</xdr:colOff>
      <xdr:row>85</xdr:row>
      <xdr:rowOff>118576</xdr:rowOff>
    </xdr:to>
    <xdr:sp macro="" textlink="">
      <xdr:nvSpPr>
        <xdr:cNvPr id="11" name="Flèche droite 2">
          <a:extLst>
            <a:ext uri="{FF2B5EF4-FFF2-40B4-BE49-F238E27FC236}">
              <a16:creationId xmlns:a16="http://schemas.microsoft.com/office/drawing/2014/main" id="{347B2437-33AB-4079-8FCC-728C1D0FE3A9}"/>
            </a:ext>
          </a:extLst>
        </xdr:cNvPr>
        <xdr:cNvSpPr/>
      </xdr:nvSpPr>
      <xdr:spPr>
        <a:xfrm rot="547277" flipV="1">
          <a:off x="3946587" y="17501775"/>
          <a:ext cx="1205980" cy="1428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339156</xdr:colOff>
      <xdr:row>88</xdr:row>
      <xdr:rowOff>153281</xdr:rowOff>
    </xdr:from>
    <xdr:to>
      <xdr:col>4</xdr:col>
      <xdr:colOff>844096</xdr:colOff>
      <xdr:row>88</xdr:row>
      <xdr:rowOff>294761</xdr:rowOff>
    </xdr:to>
    <xdr:sp macro="" textlink="">
      <xdr:nvSpPr>
        <xdr:cNvPr id="12" name="Flèche droite 2">
          <a:extLst>
            <a:ext uri="{FF2B5EF4-FFF2-40B4-BE49-F238E27FC236}">
              <a16:creationId xmlns:a16="http://schemas.microsoft.com/office/drawing/2014/main" id="{A5A93B98-F1C9-4240-BEEE-61FECCCBB8CC}"/>
            </a:ext>
          </a:extLst>
        </xdr:cNvPr>
        <xdr:cNvSpPr/>
      </xdr:nvSpPr>
      <xdr:spPr>
        <a:xfrm flipV="1">
          <a:off x="3973896" y="18365081"/>
          <a:ext cx="1205980" cy="1414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317133</xdr:colOff>
      <xdr:row>88</xdr:row>
      <xdr:rowOff>321538</xdr:rowOff>
    </xdr:from>
    <xdr:to>
      <xdr:col>4</xdr:col>
      <xdr:colOff>822073</xdr:colOff>
      <xdr:row>89</xdr:row>
      <xdr:rowOff>82457</xdr:rowOff>
    </xdr:to>
    <xdr:sp macro="" textlink="">
      <xdr:nvSpPr>
        <xdr:cNvPr id="13" name="Flèche droite 2">
          <a:extLst>
            <a:ext uri="{FF2B5EF4-FFF2-40B4-BE49-F238E27FC236}">
              <a16:creationId xmlns:a16="http://schemas.microsoft.com/office/drawing/2014/main" id="{2830CEC2-4666-49B4-A533-905C993C5DA8}"/>
            </a:ext>
          </a:extLst>
        </xdr:cNvPr>
        <xdr:cNvSpPr/>
      </xdr:nvSpPr>
      <xdr:spPr>
        <a:xfrm rot="547277" flipV="1">
          <a:off x="3951873" y="18533338"/>
          <a:ext cx="1205980" cy="1419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667568</xdr:colOff>
      <xdr:row>0</xdr:row>
      <xdr:rowOff>137424</xdr:rowOff>
    </xdr:from>
    <xdr:to>
      <xdr:col>7</xdr:col>
      <xdr:colOff>26428</xdr:colOff>
      <xdr:row>4</xdr:row>
      <xdr:rowOff>169137</xdr:rowOff>
    </xdr:to>
    <xdr:sp macro="" textlink="">
      <xdr:nvSpPr>
        <xdr:cNvPr id="2" name="ZoneTexte 1">
          <a:extLst>
            <a:ext uri="{FF2B5EF4-FFF2-40B4-BE49-F238E27FC236}">
              <a16:creationId xmlns:a16="http://schemas.microsoft.com/office/drawing/2014/main" id="{9B20EA3C-839F-49A7-9DAA-ACA384BFAC74}"/>
            </a:ext>
          </a:extLst>
        </xdr:cNvPr>
        <xdr:cNvSpPr txBox="1"/>
      </xdr:nvSpPr>
      <xdr:spPr>
        <a:xfrm>
          <a:off x="667568" y="137424"/>
          <a:ext cx="6711059" cy="7505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i="0"/>
            <a:t>Saisie</a:t>
          </a:r>
          <a:r>
            <a:rPr lang="fr-FR" sz="1600" b="1" i="0" baseline="0"/>
            <a:t> des éléments nécessaires au calcul du Coût Alimentaire</a:t>
          </a:r>
          <a:endParaRPr lang="fr-FR" sz="1200" b="1" i="1"/>
        </a:p>
      </xdr:txBody>
    </xdr:sp>
    <xdr:clientData/>
  </xdr:twoCellAnchor>
  <xdr:twoCellAnchor editAs="oneCell">
    <xdr:from>
      <xdr:col>2</xdr:col>
      <xdr:colOff>776977</xdr:colOff>
      <xdr:row>110</xdr:row>
      <xdr:rowOff>147996</xdr:rowOff>
    </xdr:from>
    <xdr:to>
      <xdr:col>4</xdr:col>
      <xdr:colOff>983112</xdr:colOff>
      <xdr:row>114</xdr:row>
      <xdr:rowOff>86599</xdr:rowOff>
    </xdr:to>
    <xdr:pic>
      <xdr:nvPicPr>
        <xdr:cNvPr id="4" name="Image 3">
          <a:extLst>
            <a:ext uri="{FF2B5EF4-FFF2-40B4-BE49-F238E27FC236}">
              <a16:creationId xmlns:a16="http://schemas.microsoft.com/office/drawing/2014/main" id="{5212498D-D089-B84A-FDA8-34FE3D2DA3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83178" y="20428648"/>
          <a:ext cx="1886940" cy="710293"/>
        </a:xfrm>
        <a:prstGeom prst="rect">
          <a:avLst/>
        </a:prstGeom>
      </xdr:spPr>
    </xdr:pic>
    <xdr:clientData/>
  </xdr:twoCellAnchor>
  <xdr:twoCellAnchor editAs="oneCell">
    <xdr:from>
      <xdr:col>2</xdr:col>
      <xdr:colOff>808690</xdr:colOff>
      <xdr:row>116</xdr:row>
      <xdr:rowOff>84568</xdr:rowOff>
    </xdr:from>
    <xdr:to>
      <xdr:col>4</xdr:col>
      <xdr:colOff>1135368</xdr:colOff>
      <xdr:row>125</xdr:row>
      <xdr:rowOff>84568</xdr:rowOff>
    </xdr:to>
    <xdr:pic>
      <xdr:nvPicPr>
        <xdr:cNvPr id="6" name="Image 5">
          <a:extLst>
            <a:ext uri="{FF2B5EF4-FFF2-40B4-BE49-F238E27FC236}">
              <a16:creationId xmlns:a16="http://schemas.microsoft.com/office/drawing/2014/main" id="{22277873-1F4E-A70C-D92C-64120B33BB5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14891" y="21744748"/>
          <a:ext cx="2007483" cy="1617378"/>
        </a:xfrm>
        <a:prstGeom prst="rect">
          <a:avLst/>
        </a:prstGeom>
      </xdr:spPr>
    </xdr:pic>
    <xdr:clientData/>
  </xdr:twoCellAnchor>
  <xdr:twoCellAnchor editAs="oneCell">
    <xdr:from>
      <xdr:col>2</xdr:col>
      <xdr:colOff>872118</xdr:colOff>
      <xdr:row>127</xdr:row>
      <xdr:rowOff>68711</xdr:rowOff>
    </xdr:from>
    <xdr:to>
      <xdr:col>4</xdr:col>
      <xdr:colOff>1071084</xdr:colOff>
      <xdr:row>131</xdr:row>
      <xdr:rowOff>95139</xdr:rowOff>
    </xdr:to>
    <xdr:pic>
      <xdr:nvPicPr>
        <xdr:cNvPr id="8" name="Image 7">
          <a:extLst>
            <a:ext uri="{FF2B5EF4-FFF2-40B4-BE49-F238E27FC236}">
              <a16:creationId xmlns:a16="http://schemas.microsoft.com/office/drawing/2014/main" id="{DBBF976D-208A-DDE8-55B4-D734FD07D3D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578319" y="23710972"/>
          <a:ext cx="1879771" cy="7452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297651</xdr:colOff>
      <xdr:row>82</xdr:row>
      <xdr:rowOff>165267</xdr:rowOff>
    </xdr:from>
    <xdr:to>
      <xdr:col>4</xdr:col>
      <xdr:colOff>80944</xdr:colOff>
      <xdr:row>83</xdr:row>
      <xdr:rowOff>44172</xdr:rowOff>
    </xdr:to>
    <xdr:sp macro="" textlink="">
      <xdr:nvSpPr>
        <xdr:cNvPr id="2" name="Flèche droite 2">
          <a:extLst>
            <a:ext uri="{FF2B5EF4-FFF2-40B4-BE49-F238E27FC236}">
              <a16:creationId xmlns:a16="http://schemas.microsoft.com/office/drawing/2014/main" id="{3FCDB25F-6BB5-4256-9749-7487CCFC900D}"/>
            </a:ext>
          </a:extLst>
        </xdr:cNvPr>
        <xdr:cNvSpPr/>
      </xdr:nvSpPr>
      <xdr:spPr>
        <a:xfrm rot="-1080000">
          <a:off x="4156102" y="8098876"/>
          <a:ext cx="544412" cy="6389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291484</xdr:colOff>
      <xdr:row>83</xdr:row>
      <xdr:rowOff>137957</xdr:rowOff>
    </xdr:from>
    <xdr:to>
      <xdr:col>4</xdr:col>
      <xdr:colOff>74777</xdr:colOff>
      <xdr:row>83</xdr:row>
      <xdr:rowOff>228285</xdr:rowOff>
    </xdr:to>
    <xdr:sp macro="" textlink="">
      <xdr:nvSpPr>
        <xdr:cNvPr id="3" name="Flèche droite 6">
          <a:extLst>
            <a:ext uri="{FF2B5EF4-FFF2-40B4-BE49-F238E27FC236}">
              <a16:creationId xmlns:a16="http://schemas.microsoft.com/office/drawing/2014/main" id="{A1FEC78C-C104-4EDB-B732-B2EB0E326799}"/>
            </a:ext>
          </a:extLst>
        </xdr:cNvPr>
        <xdr:cNvSpPr/>
      </xdr:nvSpPr>
      <xdr:spPr>
        <a:xfrm>
          <a:off x="4149935" y="13473397"/>
          <a:ext cx="544412" cy="903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263427</xdr:colOff>
      <xdr:row>83</xdr:row>
      <xdr:rowOff>276522</xdr:rowOff>
    </xdr:from>
    <xdr:to>
      <xdr:col>4</xdr:col>
      <xdr:colOff>46720</xdr:colOff>
      <xdr:row>84</xdr:row>
      <xdr:rowOff>47463</xdr:rowOff>
    </xdr:to>
    <xdr:sp macro="" textlink="">
      <xdr:nvSpPr>
        <xdr:cNvPr id="4" name="Flèche droite 7">
          <a:extLst>
            <a:ext uri="{FF2B5EF4-FFF2-40B4-BE49-F238E27FC236}">
              <a16:creationId xmlns:a16="http://schemas.microsoft.com/office/drawing/2014/main" id="{185AE44B-AD6C-4DCD-B989-FB81A12955D8}"/>
            </a:ext>
          </a:extLst>
        </xdr:cNvPr>
        <xdr:cNvSpPr/>
      </xdr:nvSpPr>
      <xdr:spPr>
        <a:xfrm rot="1080000">
          <a:off x="4121878" y="13611962"/>
          <a:ext cx="544412" cy="1039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371649</xdr:colOff>
      <xdr:row>86</xdr:row>
      <xdr:rowOff>170551</xdr:rowOff>
    </xdr:from>
    <xdr:to>
      <xdr:col>4</xdr:col>
      <xdr:colOff>154942</xdr:colOff>
      <xdr:row>87</xdr:row>
      <xdr:rowOff>49457</xdr:rowOff>
    </xdr:to>
    <xdr:sp macro="" textlink="">
      <xdr:nvSpPr>
        <xdr:cNvPr id="5" name="Flèche droite 8">
          <a:extLst>
            <a:ext uri="{FF2B5EF4-FFF2-40B4-BE49-F238E27FC236}">
              <a16:creationId xmlns:a16="http://schemas.microsoft.com/office/drawing/2014/main" id="{0C623735-B000-468D-A748-E074D208A1F0}"/>
            </a:ext>
          </a:extLst>
        </xdr:cNvPr>
        <xdr:cNvSpPr/>
      </xdr:nvSpPr>
      <xdr:spPr>
        <a:xfrm rot="-1080000">
          <a:off x="4230100" y="8844137"/>
          <a:ext cx="544412" cy="639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370768</xdr:colOff>
      <xdr:row>87</xdr:row>
      <xdr:rowOff>79815</xdr:rowOff>
    </xdr:from>
    <xdr:to>
      <xdr:col>4</xdr:col>
      <xdr:colOff>154061</xdr:colOff>
      <xdr:row>87</xdr:row>
      <xdr:rowOff>164858</xdr:rowOff>
    </xdr:to>
    <xdr:sp macro="" textlink="">
      <xdr:nvSpPr>
        <xdr:cNvPr id="6" name="Flèche droite 9">
          <a:extLst>
            <a:ext uri="{FF2B5EF4-FFF2-40B4-BE49-F238E27FC236}">
              <a16:creationId xmlns:a16="http://schemas.microsoft.com/office/drawing/2014/main" id="{0ED9E987-D03C-4A43-83C3-3EBAD0F76B36}"/>
            </a:ext>
          </a:extLst>
        </xdr:cNvPr>
        <xdr:cNvSpPr/>
      </xdr:nvSpPr>
      <xdr:spPr>
        <a:xfrm>
          <a:off x="4229219" y="8938395"/>
          <a:ext cx="544412" cy="8504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354030</xdr:colOff>
      <xdr:row>87</xdr:row>
      <xdr:rowOff>163504</xdr:rowOff>
    </xdr:from>
    <xdr:to>
      <xdr:col>4</xdr:col>
      <xdr:colOff>137323</xdr:colOff>
      <xdr:row>88</xdr:row>
      <xdr:rowOff>58266</xdr:rowOff>
    </xdr:to>
    <xdr:sp macro="" textlink="">
      <xdr:nvSpPr>
        <xdr:cNvPr id="7" name="Flèche droite 10">
          <a:extLst>
            <a:ext uri="{FF2B5EF4-FFF2-40B4-BE49-F238E27FC236}">
              <a16:creationId xmlns:a16="http://schemas.microsoft.com/office/drawing/2014/main" id="{21FEF7F2-A2E9-4277-8A07-379000CC9F3A}"/>
            </a:ext>
          </a:extLst>
        </xdr:cNvPr>
        <xdr:cNvSpPr/>
      </xdr:nvSpPr>
      <xdr:spPr>
        <a:xfrm rot="1080000">
          <a:off x="4212481" y="9022084"/>
          <a:ext cx="544412" cy="7975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0</xdr:colOff>
      <xdr:row>1</xdr:row>
      <xdr:rowOff>0</xdr:rowOff>
    </xdr:from>
    <xdr:to>
      <xdr:col>7</xdr:col>
      <xdr:colOff>179001</xdr:colOff>
      <xdr:row>5</xdr:row>
      <xdr:rowOff>21143</xdr:rowOff>
    </xdr:to>
    <xdr:sp macro="" textlink="">
      <xdr:nvSpPr>
        <xdr:cNvPr id="9" name="ZoneTexte 8">
          <a:extLst>
            <a:ext uri="{FF2B5EF4-FFF2-40B4-BE49-F238E27FC236}">
              <a16:creationId xmlns:a16="http://schemas.microsoft.com/office/drawing/2014/main" id="{7421A25D-9F8D-4E26-AC17-8B23A42A91BE}"/>
            </a:ext>
          </a:extLst>
        </xdr:cNvPr>
        <xdr:cNvSpPr txBox="1"/>
      </xdr:nvSpPr>
      <xdr:spPr>
        <a:xfrm>
          <a:off x="761119" y="179709"/>
          <a:ext cx="4745716" cy="7399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t>Bilan fourrager </a:t>
          </a:r>
        </a:p>
        <a:p>
          <a:pPr algn="ctr"/>
          <a:r>
            <a:rPr lang="fr-FR" sz="1600" b="1"/>
            <a:t>et niveau de sécurité du système fourrager</a:t>
          </a:r>
          <a:endParaRPr lang="fr-FR" sz="1200" b="1" i="1"/>
        </a:p>
      </xdr:txBody>
    </xdr:sp>
    <xdr:clientData/>
  </xdr:twoCellAnchor>
  <xdr:twoCellAnchor>
    <xdr:from>
      <xdr:col>3</xdr:col>
      <xdr:colOff>371649</xdr:colOff>
      <xdr:row>90</xdr:row>
      <xdr:rowOff>170551</xdr:rowOff>
    </xdr:from>
    <xdr:to>
      <xdr:col>4</xdr:col>
      <xdr:colOff>154942</xdr:colOff>
      <xdr:row>91</xdr:row>
      <xdr:rowOff>49457</xdr:rowOff>
    </xdr:to>
    <xdr:sp macro="" textlink="">
      <xdr:nvSpPr>
        <xdr:cNvPr id="8" name="Flèche droite 8">
          <a:extLst>
            <a:ext uri="{FF2B5EF4-FFF2-40B4-BE49-F238E27FC236}">
              <a16:creationId xmlns:a16="http://schemas.microsoft.com/office/drawing/2014/main" id="{F84902B9-A674-448D-BACC-B6E422C40BFF}"/>
            </a:ext>
          </a:extLst>
        </xdr:cNvPr>
        <xdr:cNvSpPr/>
      </xdr:nvSpPr>
      <xdr:spPr>
        <a:xfrm rot="-1080000">
          <a:off x="4230100" y="14208969"/>
          <a:ext cx="544412" cy="639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370768</xdr:colOff>
      <xdr:row>91</xdr:row>
      <xdr:rowOff>79815</xdr:rowOff>
    </xdr:from>
    <xdr:to>
      <xdr:col>4</xdr:col>
      <xdr:colOff>154061</xdr:colOff>
      <xdr:row>91</xdr:row>
      <xdr:rowOff>164858</xdr:rowOff>
    </xdr:to>
    <xdr:sp macro="" textlink="">
      <xdr:nvSpPr>
        <xdr:cNvPr id="10" name="Flèche droite 9">
          <a:extLst>
            <a:ext uri="{FF2B5EF4-FFF2-40B4-BE49-F238E27FC236}">
              <a16:creationId xmlns:a16="http://schemas.microsoft.com/office/drawing/2014/main" id="{F2F7417B-1D84-43A2-8C14-0B11D0D0CD8B}"/>
            </a:ext>
          </a:extLst>
        </xdr:cNvPr>
        <xdr:cNvSpPr/>
      </xdr:nvSpPr>
      <xdr:spPr>
        <a:xfrm>
          <a:off x="4229219" y="14303228"/>
          <a:ext cx="544412" cy="8504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354030</xdr:colOff>
      <xdr:row>91</xdr:row>
      <xdr:rowOff>163504</xdr:rowOff>
    </xdr:from>
    <xdr:to>
      <xdr:col>4</xdr:col>
      <xdr:colOff>137323</xdr:colOff>
      <xdr:row>92</xdr:row>
      <xdr:rowOff>58266</xdr:rowOff>
    </xdr:to>
    <xdr:sp macro="" textlink="">
      <xdr:nvSpPr>
        <xdr:cNvPr id="11" name="Flèche droite 10">
          <a:extLst>
            <a:ext uri="{FF2B5EF4-FFF2-40B4-BE49-F238E27FC236}">
              <a16:creationId xmlns:a16="http://schemas.microsoft.com/office/drawing/2014/main" id="{17D406CD-8FF4-446C-806F-CC9F649D1A0E}"/>
            </a:ext>
          </a:extLst>
        </xdr:cNvPr>
        <xdr:cNvSpPr/>
      </xdr:nvSpPr>
      <xdr:spPr>
        <a:xfrm rot="1080000">
          <a:off x="4212481" y="14386917"/>
          <a:ext cx="544412" cy="7975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15856</xdr:colOff>
      <xdr:row>122</xdr:row>
      <xdr:rowOff>5285</xdr:rowOff>
    </xdr:from>
    <xdr:to>
      <xdr:col>4</xdr:col>
      <xdr:colOff>459843</xdr:colOff>
      <xdr:row>127</xdr:row>
      <xdr:rowOff>5286</xdr:rowOff>
    </xdr:to>
    <xdr:sp macro="" textlink="">
      <xdr:nvSpPr>
        <xdr:cNvPr id="13" name="Accolade fermante 12">
          <a:extLst>
            <a:ext uri="{FF2B5EF4-FFF2-40B4-BE49-F238E27FC236}">
              <a16:creationId xmlns:a16="http://schemas.microsoft.com/office/drawing/2014/main" id="{C2134565-E841-ACB1-5900-1C2AEA8604F2}"/>
            </a:ext>
          </a:extLst>
        </xdr:cNvPr>
        <xdr:cNvSpPr/>
      </xdr:nvSpPr>
      <xdr:spPr>
        <a:xfrm>
          <a:off x="4635426" y="23050279"/>
          <a:ext cx="443987" cy="924972"/>
        </a:xfrm>
        <a:prstGeom prst="rightBrace">
          <a:avLst/>
        </a:prstGeom>
        <a:noFill/>
        <a:ln w="508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xdr:from>
      <xdr:col>0</xdr:col>
      <xdr:colOff>198209</xdr:colOff>
      <xdr:row>129</xdr:row>
      <xdr:rowOff>55500</xdr:rowOff>
    </xdr:from>
    <xdr:to>
      <xdr:col>5</xdr:col>
      <xdr:colOff>216708</xdr:colOff>
      <xdr:row>149</xdr:row>
      <xdr:rowOff>121568</xdr:rowOff>
    </xdr:to>
    <xdr:graphicFrame macro="">
      <xdr:nvGraphicFramePr>
        <xdr:cNvPr id="16" name="Graphique 15">
          <a:extLst>
            <a:ext uri="{FF2B5EF4-FFF2-40B4-BE49-F238E27FC236}">
              <a16:creationId xmlns:a16="http://schemas.microsoft.com/office/drawing/2014/main" id="{6854634D-B0DE-B91C-9221-D7AD50B31D1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822960</xdr:colOff>
      <xdr:row>3</xdr:row>
      <xdr:rowOff>84568</xdr:rowOff>
    </xdr:to>
    <xdr:pic>
      <xdr:nvPicPr>
        <xdr:cNvPr id="2" name="Picture 2">
          <a:extLst>
            <a:ext uri="{FF2B5EF4-FFF2-40B4-BE49-F238E27FC236}">
              <a16:creationId xmlns:a16="http://schemas.microsoft.com/office/drawing/2014/main" id="{41143D73-84B2-4C1A-981D-D826DB917B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22960" cy="946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297651</xdr:colOff>
      <xdr:row>81</xdr:row>
      <xdr:rowOff>165267</xdr:rowOff>
    </xdr:from>
    <xdr:to>
      <xdr:col>4</xdr:col>
      <xdr:colOff>80944</xdr:colOff>
      <xdr:row>82</xdr:row>
      <xdr:rowOff>44172</xdr:rowOff>
    </xdr:to>
    <xdr:sp macro="" textlink="">
      <xdr:nvSpPr>
        <xdr:cNvPr id="2" name="Flèche droite 2">
          <a:extLst>
            <a:ext uri="{FF2B5EF4-FFF2-40B4-BE49-F238E27FC236}">
              <a16:creationId xmlns:a16="http://schemas.microsoft.com/office/drawing/2014/main" id="{79A4B412-CC44-4C96-AD1E-C67A22D3CECF}"/>
            </a:ext>
          </a:extLst>
        </xdr:cNvPr>
        <xdr:cNvSpPr/>
      </xdr:nvSpPr>
      <xdr:spPr>
        <a:xfrm rot="-1080000">
          <a:off x="4156102" y="8331440"/>
          <a:ext cx="544412" cy="639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296770</xdr:colOff>
      <xdr:row>82</xdr:row>
      <xdr:rowOff>116815</xdr:rowOff>
    </xdr:from>
    <xdr:to>
      <xdr:col>4</xdr:col>
      <xdr:colOff>80063</xdr:colOff>
      <xdr:row>82</xdr:row>
      <xdr:rowOff>207143</xdr:rowOff>
    </xdr:to>
    <xdr:sp macro="" textlink="">
      <xdr:nvSpPr>
        <xdr:cNvPr id="3" name="Flèche droite 6">
          <a:extLst>
            <a:ext uri="{FF2B5EF4-FFF2-40B4-BE49-F238E27FC236}">
              <a16:creationId xmlns:a16="http://schemas.microsoft.com/office/drawing/2014/main" id="{90E8DB4C-BD40-4FA2-8846-A07685D48195}"/>
            </a:ext>
          </a:extLst>
        </xdr:cNvPr>
        <xdr:cNvSpPr/>
      </xdr:nvSpPr>
      <xdr:spPr>
        <a:xfrm>
          <a:off x="4155221" y="15693328"/>
          <a:ext cx="544412" cy="903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261951</xdr:colOff>
      <xdr:row>82</xdr:row>
      <xdr:rowOff>277662</xdr:rowOff>
    </xdr:from>
    <xdr:to>
      <xdr:col>4</xdr:col>
      <xdr:colOff>45244</xdr:colOff>
      <xdr:row>83</xdr:row>
      <xdr:rowOff>55402</xdr:rowOff>
    </xdr:to>
    <xdr:sp macro="" textlink="">
      <xdr:nvSpPr>
        <xdr:cNvPr id="4" name="Flèche droite 7">
          <a:extLst>
            <a:ext uri="{FF2B5EF4-FFF2-40B4-BE49-F238E27FC236}">
              <a16:creationId xmlns:a16="http://schemas.microsoft.com/office/drawing/2014/main" id="{7F750291-D96C-4B78-8569-CC40E0140907}"/>
            </a:ext>
          </a:extLst>
        </xdr:cNvPr>
        <xdr:cNvSpPr/>
      </xdr:nvSpPr>
      <xdr:spPr>
        <a:xfrm rot="1080000">
          <a:off x="4120402" y="15854175"/>
          <a:ext cx="544412" cy="1001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371649</xdr:colOff>
      <xdr:row>85</xdr:row>
      <xdr:rowOff>170551</xdr:rowOff>
    </xdr:from>
    <xdr:to>
      <xdr:col>4</xdr:col>
      <xdr:colOff>154942</xdr:colOff>
      <xdr:row>86</xdr:row>
      <xdr:rowOff>49457</xdr:rowOff>
    </xdr:to>
    <xdr:sp macro="" textlink="">
      <xdr:nvSpPr>
        <xdr:cNvPr id="5" name="Flèche droite 8">
          <a:extLst>
            <a:ext uri="{FF2B5EF4-FFF2-40B4-BE49-F238E27FC236}">
              <a16:creationId xmlns:a16="http://schemas.microsoft.com/office/drawing/2014/main" id="{B9A49B3F-78D2-4826-A970-1F2341D640E2}"/>
            </a:ext>
          </a:extLst>
        </xdr:cNvPr>
        <xdr:cNvSpPr/>
      </xdr:nvSpPr>
      <xdr:spPr>
        <a:xfrm rot="-1080000">
          <a:off x="4230100" y="9076701"/>
          <a:ext cx="544412" cy="639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370768</xdr:colOff>
      <xdr:row>86</xdr:row>
      <xdr:rowOff>79815</xdr:rowOff>
    </xdr:from>
    <xdr:to>
      <xdr:col>4</xdr:col>
      <xdr:colOff>154061</xdr:colOff>
      <xdr:row>86</xdr:row>
      <xdr:rowOff>164858</xdr:rowOff>
    </xdr:to>
    <xdr:sp macro="" textlink="">
      <xdr:nvSpPr>
        <xdr:cNvPr id="6" name="Flèche droite 9">
          <a:extLst>
            <a:ext uri="{FF2B5EF4-FFF2-40B4-BE49-F238E27FC236}">
              <a16:creationId xmlns:a16="http://schemas.microsoft.com/office/drawing/2014/main" id="{B467F6C8-1801-4379-94B9-59AA289DA565}"/>
            </a:ext>
          </a:extLst>
        </xdr:cNvPr>
        <xdr:cNvSpPr/>
      </xdr:nvSpPr>
      <xdr:spPr>
        <a:xfrm>
          <a:off x="4229219" y="9170960"/>
          <a:ext cx="544412" cy="8504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354030</xdr:colOff>
      <xdr:row>86</xdr:row>
      <xdr:rowOff>163504</xdr:rowOff>
    </xdr:from>
    <xdr:to>
      <xdr:col>4</xdr:col>
      <xdr:colOff>137323</xdr:colOff>
      <xdr:row>87</xdr:row>
      <xdr:rowOff>58266</xdr:rowOff>
    </xdr:to>
    <xdr:sp macro="" textlink="">
      <xdr:nvSpPr>
        <xdr:cNvPr id="7" name="Flèche droite 10">
          <a:extLst>
            <a:ext uri="{FF2B5EF4-FFF2-40B4-BE49-F238E27FC236}">
              <a16:creationId xmlns:a16="http://schemas.microsoft.com/office/drawing/2014/main" id="{78A8C7AE-1441-44E4-A858-0631FBDFC318}"/>
            </a:ext>
          </a:extLst>
        </xdr:cNvPr>
        <xdr:cNvSpPr/>
      </xdr:nvSpPr>
      <xdr:spPr>
        <a:xfrm rot="1080000">
          <a:off x="4212481" y="9254649"/>
          <a:ext cx="544412" cy="7975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0</xdr:colOff>
      <xdr:row>1</xdr:row>
      <xdr:rowOff>0</xdr:rowOff>
    </xdr:from>
    <xdr:to>
      <xdr:col>7</xdr:col>
      <xdr:colOff>179001</xdr:colOff>
      <xdr:row>5</xdr:row>
      <xdr:rowOff>21143</xdr:rowOff>
    </xdr:to>
    <xdr:sp macro="" textlink="">
      <xdr:nvSpPr>
        <xdr:cNvPr id="8" name="ZoneTexte 7">
          <a:extLst>
            <a:ext uri="{FF2B5EF4-FFF2-40B4-BE49-F238E27FC236}">
              <a16:creationId xmlns:a16="http://schemas.microsoft.com/office/drawing/2014/main" id="{E29D97A2-52C3-4364-8E45-2DDE6DB924FA}"/>
            </a:ext>
          </a:extLst>
        </xdr:cNvPr>
        <xdr:cNvSpPr txBox="1"/>
      </xdr:nvSpPr>
      <xdr:spPr>
        <a:xfrm>
          <a:off x="1479954" y="179709"/>
          <a:ext cx="5718256" cy="7399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t>Bilan MAT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502127</xdr:colOff>
      <xdr:row>0</xdr:row>
      <xdr:rowOff>52855</xdr:rowOff>
    </xdr:from>
    <xdr:to>
      <xdr:col>6</xdr:col>
      <xdr:colOff>31005</xdr:colOff>
      <xdr:row>4</xdr:row>
      <xdr:rowOff>73997</xdr:rowOff>
    </xdr:to>
    <xdr:sp macro="" textlink="">
      <xdr:nvSpPr>
        <xdr:cNvPr id="2" name="ZoneTexte 1">
          <a:extLst>
            <a:ext uri="{FF2B5EF4-FFF2-40B4-BE49-F238E27FC236}">
              <a16:creationId xmlns:a16="http://schemas.microsoft.com/office/drawing/2014/main" id="{5BE9FEA5-3D71-46CE-867F-884FED77D782}"/>
            </a:ext>
          </a:extLst>
        </xdr:cNvPr>
        <xdr:cNvSpPr txBox="1"/>
      </xdr:nvSpPr>
      <xdr:spPr>
        <a:xfrm>
          <a:off x="502127" y="52855"/>
          <a:ext cx="5718256" cy="7399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t>Bilan apparent</a:t>
          </a:r>
          <a:r>
            <a:rPr lang="fr-FR" sz="1600" b="1" baseline="0"/>
            <a:t> des Minéraux NPK</a:t>
          </a:r>
          <a:endParaRPr lang="fr-FR" sz="16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502127</xdr:colOff>
      <xdr:row>0</xdr:row>
      <xdr:rowOff>52855</xdr:rowOff>
    </xdr:from>
    <xdr:to>
      <xdr:col>6</xdr:col>
      <xdr:colOff>31005</xdr:colOff>
      <xdr:row>4</xdr:row>
      <xdr:rowOff>73997</xdr:rowOff>
    </xdr:to>
    <xdr:sp macro="" textlink="">
      <xdr:nvSpPr>
        <xdr:cNvPr id="2" name="ZoneTexte 1">
          <a:extLst>
            <a:ext uri="{FF2B5EF4-FFF2-40B4-BE49-F238E27FC236}">
              <a16:creationId xmlns:a16="http://schemas.microsoft.com/office/drawing/2014/main" id="{5065142A-89D2-44A7-B4DA-21E39538E7E6}"/>
            </a:ext>
          </a:extLst>
        </xdr:cNvPr>
        <xdr:cNvSpPr txBox="1"/>
      </xdr:nvSpPr>
      <xdr:spPr>
        <a:xfrm>
          <a:off x="502127" y="52855"/>
          <a:ext cx="5718256" cy="7399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t>Bilan des</a:t>
          </a:r>
          <a:r>
            <a:rPr lang="fr-FR" sz="1600" b="1" baseline="0"/>
            <a:t> concentrés et des UFL </a:t>
          </a:r>
          <a:endParaRPr lang="fr-FR" sz="1600" b="1"/>
        </a:p>
      </xdr:txBody>
    </xdr:sp>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912A2-4C19-40E4-B7CF-AD8692B95E77}">
  <dimension ref="A2:M263"/>
  <sheetViews>
    <sheetView tabSelected="1" workbookViewId="0">
      <selection activeCell="B142" sqref="B142"/>
    </sheetView>
  </sheetViews>
  <sheetFormatPr baseColWidth="10" defaultColWidth="11.140625" defaultRowHeight="15" x14ac:dyDescent="0.25"/>
  <cols>
    <col min="1" max="1" width="22.7109375" customWidth="1"/>
    <col min="2" max="2" width="16.140625" customWidth="1"/>
    <col min="3" max="3" width="14.28515625" customWidth="1"/>
    <col min="4" max="4" width="10.28515625" customWidth="1"/>
    <col min="5" max="5" width="17.7109375" customWidth="1"/>
    <col min="6" max="6" width="16" customWidth="1"/>
    <col min="7" max="7" width="10.140625" customWidth="1"/>
    <col min="8" max="8" width="9.140625" customWidth="1"/>
    <col min="9" max="9" width="11.5703125" customWidth="1"/>
  </cols>
  <sheetData>
    <row r="2" spans="1:11" x14ac:dyDescent="0.25">
      <c r="A2" s="1"/>
    </row>
    <row r="3" spans="1:11" x14ac:dyDescent="0.25">
      <c r="A3" s="1"/>
    </row>
    <row r="4" spans="1:11" x14ac:dyDescent="0.25">
      <c r="A4" s="1"/>
    </row>
    <row r="5" spans="1:11" x14ac:dyDescent="0.25">
      <c r="A5" s="1"/>
    </row>
    <row r="6" spans="1:11" ht="15.75" thickBot="1" x14ac:dyDescent="0.3">
      <c r="A6" s="1"/>
    </row>
    <row r="7" spans="1:11" ht="15.75" thickBot="1" x14ac:dyDescent="0.3">
      <c r="A7" s="18" t="s">
        <v>0</v>
      </c>
      <c r="B7" s="436"/>
      <c r="C7" s="437"/>
      <c r="D7" s="438"/>
    </row>
    <row r="8" spans="1:11" ht="15.75" thickBot="1" x14ac:dyDescent="0.3">
      <c r="A8" s="18" t="s">
        <v>73</v>
      </c>
      <c r="B8" s="436"/>
      <c r="C8" s="437"/>
      <c r="D8" s="438"/>
    </row>
    <row r="9" spans="1:11" ht="15.75" thickBot="1" x14ac:dyDescent="0.3">
      <c r="A9" s="18" t="s">
        <v>74</v>
      </c>
      <c r="B9" s="436"/>
      <c r="C9" s="437"/>
      <c r="D9" s="438"/>
    </row>
    <row r="10" spans="1:11" ht="15.75" thickBot="1" x14ac:dyDescent="0.3">
      <c r="A10" s="18" t="s">
        <v>1</v>
      </c>
      <c r="B10" s="2"/>
    </row>
    <row r="13" spans="1:11" ht="18.75" x14ac:dyDescent="0.3">
      <c r="A13" s="19" t="s">
        <v>75</v>
      </c>
    </row>
    <row r="14" spans="1:11" ht="19.5" thickBot="1" x14ac:dyDescent="0.35">
      <c r="A14" s="19"/>
    </row>
    <row r="15" spans="1:11" ht="15.75" thickBot="1" x14ac:dyDescent="0.3">
      <c r="A15" s="20"/>
      <c r="B15" s="21" t="s">
        <v>7</v>
      </c>
      <c r="C15" s="22"/>
      <c r="D15" s="22"/>
      <c r="E15" s="22"/>
      <c r="F15" s="23"/>
      <c r="G15" s="3"/>
      <c r="H15" s="3"/>
      <c r="I15" s="3"/>
      <c r="J15" s="3"/>
    </row>
    <row r="16" spans="1:11" ht="39.950000000000003" customHeight="1" thickBot="1" x14ac:dyDescent="0.3">
      <c r="A16" s="20"/>
      <c r="B16" s="24" t="s">
        <v>2</v>
      </c>
      <c r="C16" s="99" t="s">
        <v>3</v>
      </c>
      <c r="D16" s="99" t="s">
        <v>78</v>
      </c>
      <c r="E16" s="25" t="s">
        <v>87</v>
      </c>
      <c r="F16" s="100" t="s">
        <v>4</v>
      </c>
      <c r="G16" s="439" t="s">
        <v>92</v>
      </c>
      <c r="H16" s="440"/>
      <c r="I16" s="440"/>
      <c r="J16" s="440"/>
      <c r="K16" s="441"/>
    </row>
    <row r="17" spans="1:10" ht="15.75" thickBot="1" x14ac:dyDescent="0.3">
      <c r="A17" s="26"/>
      <c r="B17" s="27" t="s">
        <v>77</v>
      </c>
      <c r="C17" s="132"/>
      <c r="D17" s="103"/>
      <c r="E17" s="97"/>
      <c r="F17" s="96"/>
      <c r="G17" s="29"/>
      <c r="H17" s="29"/>
      <c r="I17" s="29"/>
      <c r="J17" s="29"/>
    </row>
    <row r="18" spans="1:10" ht="15.75" thickBot="1" x14ac:dyDescent="0.3">
      <c r="A18" s="5"/>
      <c r="B18" s="18" t="s">
        <v>8</v>
      </c>
      <c r="C18" s="132"/>
      <c r="D18" s="101"/>
      <c r="E18" s="28"/>
      <c r="F18" s="96"/>
      <c r="G18" s="29"/>
      <c r="H18" s="29"/>
      <c r="I18" s="29"/>
      <c r="J18" s="29"/>
    </row>
    <row r="19" spans="1:10" ht="15.75" thickBot="1" x14ac:dyDescent="0.3">
      <c r="A19" s="5"/>
      <c r="B19" s="18" t="s">
        <v>79</v>
      </c>
      <c r="C19" s="132"/>
      <c r="D19" s="97"/>
      <c r="E19" s="30"/>
      <c r="F19" s="96"/>
      <c r="G19" s="29"/>
      <c r="H19" s="29"/>
      <c r="I19" s="29"/>
      <c r="J19" s="29"/>
    </row>
    <row r="20" spans="1:10" ht="15.75" thickBot="1" x14ac:dyDescent="0.3">
      <c r="A20" s="5"/>
      <c r="B20" s="18" t="s">
        <v>86</v>
      </c>
      <c r="C20" s="132"/>
      <c r="D20" s="97"/>
      <c r="E20" s="104" t="s">
        <v>81</v>
      </c>
      <c r="F20" s="96"/>
      <c r="G20" s="29"/>
      <c r="H20" s="29"/>
      <c r="I20" s="29"/>
      <c r="J20" s="29"/>
    </row>
    <row r="21" spans="1:10" ht="15.75" thickBot="1" x14ac:dyDescent="0.3">
      <c r="A21" s="5"/>
      <c r="B21" s="18" t="s">
        <v>83</v>
      </c>
      <c r="C21" s="132"/>
      <c r="D21" s="97"/>
      <c r="E21" s="102"/>
      <c r="F21" s="96"/>
      <c r="G21" s="29"/>
      <c r="H21" s="29"/>
      <c r="I21" s="29"/>
      <c r="J21" s="29"/>
    </row>
    <row r="22" spans="1:10" ht="15.75" thickBot="1" x14ac:dyDescent="0.3">
      <c r="A22" s="1"/>
      <c r="B22" s="18" t="s">
        <v>84</v>
      </c>
      <c r="C22" s="132"/>
      <c r="D22" s="97"/>
      <c r="E22" s="30"/>
      <c r="F22" s="96"/>
      <c r="G22" s="29"/>
      <c r="H22" s="29"/>
      <c r="I22" s="29"/>
      <c r="J22" s="29"/>
    </row>
    <row r="23" spans="1:10" ht="15.75" thickBot="1" x14ac:dyDescent="0.3">
      <c r="A23" s="1"/>
      <c r="B23" s="18" t="s">
        <v>85</v>
      </c>
      <c r="C23" s="132"/>
      <c r="D23" s="97"/>
      <c r="E23" s="104" t="s">
        <v>90</v>
      </c>
      <c r="F23" s="96"/>
      <c r="G23" s="29"/>
      <c r="H23" s="29"/>
      <c r="I23" s="29"/>
      <c r="J23" s="29"/>
    </row>
    <row r="24" spans="1:10" ht="15.75" thickBot="1" x14ac:dyDescent="0.3">
      <c r="A24" s="1"/>
      <c r="B24" s="18" t="s">
        <v>91</v>
      </c>
      <c r="C24" s="132"/>
      <c r="D24" s="97"/>
      <c r="E24" s="102"/>
      <c r="F24" s="96"/>
      <c r="G24" s="29"/>
      <c r="H24" s="29"/>
      <c r="I24" s="29"/>
      <c r="J24" s="29"/>
    </row>
    <row r="25" spans="1:10" ht="15.75" thickBot="1" x14ac:dyDescent="0.3">
      <c r="A25" s="1"/>
      <c r="B25" s="18" t="s">
        <v>94</v>
      </c>
      <c r="C25" s="132"/>
      <c r="D25" s="97"/>
      <c r="E25" s="28"/>
      <c r="F25" s="96"/>
      <c r="G25" s="29"/>
      <c r="H25" s="29"/>
      <c r="I25" s="29"/>
      <c r="J25" s="29"/>
    </row>
    <row r="26" spans="1:10" ht="15.75" thickBot="1" x14ac:dyDescent="0.3">
      <c r="A26" s="1"/>
      <c r="B26" s="18" t="s">
        <v>93</v>
      </c>
      <c r="C26" s="132"/>
      <c r="D26" s="98"/>
      <c r="E26" s="30"/>
      <c r="F26" s="96"/>
      <c r="G26" s="29"/>
      <c r="H26" s="29"/>
      <c r="I26" s="29"/>
      <c r="J26" s="29"/>
    </row>
    <row r="27" spans="1:10" ht="15.75" thickBot="1" x14ac:dyDescent="0.3">
      <c r="A27" s="20"/>
      <c r="B27" s="21" t="s">
        <v>683</v>
      </c>
      <c r="C27" s="95"/>
      <c r="D27" s="22"/>
      <c r="E27" s="22"/>
      <c r="F27" s="94"/>
      <c r="G27" s="29"/>
      <c r="H27" s="29"/>
      <c r="I27" s="29"/>
      <c r="J27" s="29"/>
    </row>
    <row r="28" spans="1:10" ht="15.75" thickBot="1" x14ac:dyDescent="0.3">
      <c r="A28" s="1"/>
      <c r="B28" s="18" t="s">
        <v>733</v>
      </c>
      <c r="C28" s="2"/>
      <c r="D28" s="31"/>
      <c r="E28" s="31"/>
      <c r="F28" s="96"/>
      <c r="G28" s="29"/>
      <c r="H28" s="29"/>
      <c r="I28" s="29"/>
      <c r="J28" s="29"/>
    </row>
    <row r="29" spans="1:10" ht="15.75" thickBot="1" x14ac:dyDescent="0.3">
      <c r="A29" s="1"/>
      <c r="B29" s="18" t="s">
        <v>8</v>
      </c>
      <c r="C29" s="2"/>
      <c r="D29" s="31"/>
      <c r="E29" s="31"/>
      <c r="F29" s="96"/>
      <c r="G29" s="29"/>
      <c r="H29" s="29"/>
      <c r="I29" s="29"/>
      <c r="J29" s="29"/>
    </row>
    <row r="30" spans="1:10" ht="15.75" thickBot="1" x14ac:dyDescent="0.3">
      <c r="A30" s="1"/>
      <c r="B30" s="18" t="s">
        <v>735</v>
      </c>
      <c r="C30" s="2"/>
      <c r="D30" s="31"/>
      <c r="E30" s="31"/>
      <c r="F30" s="96"/>
      <c r="G30" s="29"/>
      <c r="H30" s="29"/>
      <c r="I30" s="29"/>
      <c r="J30" s="29"/>
    </row>
    <row r="31" spans="1:10" ht="15.75" thickBot="1" x14ac:dyDescent="0.3">
      <c r="A31" s="1"/>
      <c r="B31" s="18" t="s">
        <v>736</v>
      </c>
      <c r="C31" s="2"/>
      <c r="D31" s="31"/>
      <c r="E31" s="31"/>
      <c r="F31" s="96"/>
      <c r="G31" s="29"/>
      <c r="H31" s="29"/>
      <c r="I31" s="29"/>
      <c r="J31" s="29"/>
    </row>
    <row r="32" spans="1:10" ht="15.75" thickBot="1" x14ac:dyDescent="0.3">
      <c r="A32" s="1"/>
      <c r="B32" s="18" t="s">
        <v>734</v>
      </c>
      <c r="C32" s="2"/>
      <c r="D32" s="31"/>
      <c r="E32" s="31"/>
      <c r="F32" s="96"/>
      <c r="G32" s="29"/>
      <c r="H32" s="29"/>
      <c r="I32" s="29"/>
      <c r="J32" s="29"/>
    </row>
    <row r="33" spans="1:10" ht="15.75" thickBot="1" x14ac:dyDescent="0.3">
      <c r="A33" s="1"/>
      <c r="B33" s="18" t="s">
        <v>737</v>
      </c>
      <c r="C33" s="2"/>
      <c r="D33" s="31"/>
      <c r="E33" s="31"/>
      <c r="F33" s="96"/>
      <c r="G33" s="29"/>
      <c r="H33" s="29"/>
      <c r="I33" s="29"/>
      <c r="J33" s="29"/>
    </row>
    <row r="34" spans="1:10" ht="15.75" thickBot="1" x14ac:dyDescent="0.3">
      <c r="A34" s="1"/>
      <c r="B34" s="18" t="s">
        <v>738</v>
      </c>
      <c r="C34" s="2"/>
      <c r="D34" s="31"/>
      <c r="E34" s="31"/>
      <c r="F34" s="96"/>
      <c r="G34" s="29"/>
      <c r="H34" s="29"/>
      <c r="I34" s="29"/>
      <c r="J34" s="29"/>
    </row>
    <row r="35" spans="1:10" ht="15.75" thickBot="1" x14ac:dyDescent="0.3">
      <c r="A35" s="1"/>
      <c r="B35" s="18" t="s">
        <v>739</v>
      </c>
      <c r="C35" s="2"/>
      <c r="D35" s="31"/>
      <c r="E35" s="31"/>
      <c r="F35" s="96"/>
      <c r="G35" s="29"/>
      <c r="H35" s="29"/>
      <c r="I35" s="29"/>
      <c r="J35" s="29"/>
    </row>
    <row r="36" spans="1:10" ht="15.75" thickBot="1" x14ac:dyDescent="0.3">
      <c r="A36" s="1"/>
      <c r="B36" s="18" t="s">
        <v>740</v>
      </c>
      <c r="C36" s="2"/>
      <c r="D36" s="31"/>
      <c r="E36" s="31"/>
      <c r="F36" s="96"/>
      <c r="G36" s="29"/>
      <c r="H36" s="29"/>
      <c r="I36" s="29"/>
      <c r="J36" s="29"/>
    </row>
    <row r="37" spans="1:10" ht="15.75" thickBot="1" x14ac:dyDescent="0.3">
      <c r="A37" s="1"/>
      <c r="B37" s="18" t="s">
        <v>522</v>
      </c>
      <c r="C37" s="2"/>
      <c r="D37" s="31"/>
      <c r="E37" s="31"/>
      <c r="F37" s="96"/>
      <c r="G37" s="29"/>
      <c r="H37" s="29"/>
      <c r="I37" s="29"/>
      <c r="J37" s="29"/>
    </row>
    <row r="38" spans="1:10" ht="15.75" thickBot="1" x14ac:dyDescent="0.3">
      <c r="A38" s="20"/>
      <c r="B38" s="21" t="s">
        <v>684</v>
      </c>
      <c r="C38" s="95"/>
      <c r="D38" s="22"/>
      <c r="E38" s="22"/>
      <c r="F38" s="94"/>
      <c r="G38" s="29"/>
      <c r="H38" s="29"/>
      <c r="I38" s="29"/>
      <c r="J38" s="29"/>
    </row>
    <row r="39" spans="1:10" ht="15.75" thickBot="1" x14ac:dyDescent="0.3">
      <c r="A39" s="1"/>
      <c r="B39" s="18" t="s">
        <v>733</v>
      </c>
      <c r="C39" s="2"/>
      <c r="D39" s="31"/>
      <c r="E39" s="31"/>
      <c r="F39" s="96"/>
      <c r="G39" s="29"/>
      <c r="H39" s="29"/>
      <c r="I39" s="29"/>
      <c r="J39" s="29"/>
    </row>
    <row r="40" spans="1:10" ht="15.75" thickBot="1" x14ac:dyDescent="0.3">
      <c r="A40" s="1"/>
      <c r="B40" s="18" t="s">
        <v>8</v>
      </c>
      <c r="C40" s="2"/>
      <c r="D40" s="31"/>
      <c r="E40" s="31"/>
      <c r="F40" s="96"/>
      <c r="G40" s="29"/>
      <c r="H40" s="29"/>
      <c r="I40" s="29"/>
      <c r="J40" s="29"/>
    </row>
    <row r="41" spans="1:10" ht="15.75" thickBot="1" x14ac:dyDescent="0.3">
      <c r="A41" s="1"/>
      <c r="B41" s="18" t="s">
        <v>735</v>
      </c>
      <c r="C41" s="2"/>
      <c r="D41" s="31"/>
      <c r="E41" s="31"/>
      <c r="F41" s="96"/>
      <c r="G41" s="29"/>
      <c r="H41" s="29"/>
      <c r="I41" s="29"/>
      <c r="J41" s="29"/>
    </row>
    <row r="42" spans="1:10" ht="15.75" thickBot="1" x14ac:dyDescent="0.3">
      <c r="A42" s="1"/>
      <c r="B42" s="18" t="s">
        <v>736</v>
      </c>
      <c r="C42" s="2"/>
      <c r="D42" s="31"/>
      <c r="E42" s="31"/>
      <c r="F42" s="96"/>
      <c r="G42" s="29"/>
      <c r="H42" s="29"/>
      <c r="I42" s="29"/>
      <c r="J42" s="29"/>
    </row>
    <row r="43" spans="1:10" ht="15.75" thickBot="1" x14ac:dyDescent="0.3">
      <c r="A43" s="1"/>
      <c r="B43" s="18" t="s">
        <v>734</v>
      </c>
      <c r="C43" s="2"/>
      <c r="D43" s="31"/>
      <c r="E43" s="31"/>
      <c r="F43" s="96"/>
      <c r="G43" s="29"/>
      <c r="H43" s="29"/>
      <c r="I43" s="29"/>
      <c r="J43" s="29"/>
    </row>
    <row r="44" spans="1:10" ht="15.75" thickBot="1" x14ac:dyDescent="0.3">
      <c r="A44" s="1"/>
      <c r="B44" s="18" t="s">
        <v>737</v>
      </c>
      <c r="C44" s="2"/>
      <c r="D44" s="31"/>
      <c r="E44" s="31"/>
      <c r="F44" s="96"/>
      <c r="G44" s="29"/>
      <c r="H44" s="29"/>
      <c r="I44" s="29"/>
      <c r="J44" s="29"/>
    </row>
    <row r="45" spans="1:10" ht="15.75" thickBot="1" x14ac:dyDescent="0.3">
      <c r="A45" s="1"/>
      <c r="B45" s="18" t="s">
        <v>738</v>
      </c>
      <c r="C45" s="2"/>
      <c r="D45" s="31"/>
      <c r="E45" s="31"/>
      <c r="F45" s="96"/>
      <c r="G45" s="29"/>
      <c r="H45" s="29"/>
      <c r="I45" s="29"/>
      <c r="J45" s="29"/>
    </row>
    <row r="46" spans="1:10" ht="15.75" thickBot="1" x14ac:dyDescent="0.3">
      <c r="A46" s="1"/>
      <c r="B46" s="18" t="s">
        <v>739</v>
      </c>
      <c r="C46" s="2"/>
      <c r="D46" s="31"/>
      <c r="E46" s="31"/>
      <c r="F46" s="96"/>
      <c r="G46" s="29"/>
      <c r="H46" s="29"/>
      <c r="I46" s="29"/>
      <c r="J46" s="29"/>
    </row>
    <row r="47" spans="1:10" ht="15.75" thickBot="1" x14ac:dyDescent="0.3">
      <c r="A47" s="1"/>
      <c r="B47" s="18" t="s">
        <v>740</v>
      </c>
      <c r="C47" s="2"/>
      <c r="D47" s="31"/>
      <c r="E47" s="31"/>
      <c r="F47" s="96"/>
      <c r="G47" s="29"/>
      <c r="H47" s="29"/>
      <c r="I47" s="29"/>
      <c r="J47" s="29"/>
    </row>
    <row r="48" spans="1:10" ht="15.75" thickBot="1" x14ac:dyDescent="0.3">
      <c r="A48" s="1"/>
      <c r="B48" s="18" t="s">
        <v>522</v>
      </c>
      <c r="C48" s="2"/>
      <c r="D48" s="31"/>
      <c r="E48" s="31"/>
      <c r="F48" s="96"/>
      <c r="G48" s="29"/>
      <c r="H48" s="29"/>
      <c r="I48" s="29"/>
      <c r="J48" s="29"/>
    </row>
    <row r="49" spans="1:10" ht="15.75" thickBot="1" x14ac:dyDescent="0.3">
      <c r="A49" s="20"/>
      <c r="B49" s="21" t="s">
        <v>685</v>
      </c>
      <c r="C49" s="95"/>
      <c r="D49" s="22"/>
      <c r="E49" s="22"/>
      <c r="F49" s="94"/>
      <c r="G49" s="29"/>
      <c r="H49" s="29"/>
      <c r="I49" s="29"/>
      <c r="J49" s="29"/>
    </row>
    <row r="50" spans="1:10" ht="15.75" thickBot="1" x14ac:dyDescent="0.3">
      <c r="A50" s="1"/>
      <c r="B50" s="18" t="s">
        <v>686</v>
      </c>
      <c r="C50" s="2"/>
      <c r="D50" s="31"/>
      <c r="E50" s="31"/>
      <c r="F50" s="96"/>
      <c r="G50" s="29"/>
      <c r="H50" s="29"/>
      <c r="I50" s="29"/>
      <c r="J50" s="29"/>
    </row>
    <row r="51" spans="1:10" ht="15.75" thickBot="1" x14ac:dyDescent="0.3">
      <c r="A51" s="1"/>
      <c r="B51" s="18" t="s">
        <v>687</v>
      </c>
      <c r="C51" s="2"/>
      <c r="D51" s="31"/>
      <c r="E51" s="31"/>
      <c r="F51" s="96"/>
      <c r="G51" s="29"/>
      <c r="H51" s="29"/>
      <c r="I51" s="29"/>
      <c r="J51" s="29"/>
    </row>
    <row r="52" spans="1:10" ht="15.75" thickBot="1" x14ac:dyDescent="0.3">
      <c r="A52" s="1"/>
      <c r="B52" s="18" t="s">
        <v>688</v>
      </c>
      <c r="C52" s="2"/>
      <c r="D52" s="31"/>
      <c r="E52" s="31"/>
      <c r="F52" s="96"/>
      <c r="G52" s="29"/>
      <c r="H52" s="29"/>
      <c r="I52" s="29"/>
      <c r="J52" s="29"/>
    </row>
    <row r="53" spans="1:10" ht="15.75" thickBot="1" x14ac:dyDescent="0.3">
      <c r="A53" s="20"/>
      <c r="B53" s="21" t="s">
        <v>689</v>
      </c>
      <c r="C53" s="95"/>
      <c r="D53" s="22"/>
      <c r="E53" s="22"/>
      <c r="F53" s="94"/>
      <c r="G53" s="29"/>
      <c r="H53" s="29"/>
      <c r="I53" s="29"/>
      <c r="J53" s="29"/>
    </row>
    <row r="54" spans="1:10" ht="15.75" thickBot="1" x14ac:dyDescent="0.3">
      <c r="A54" s="1"/>
      <c r="B54" s="18" t="s">
        <v>765</v>
      </c>
      <c r="C54" s="2"/>
      <c r="D54" s="31"/>
      <c r="E54" s="31"/>
      <c r="F54" s="96"/>
      <c r="G54" s="29"/>
      <c r="H54" s="29"/>
      <c r="I54" s="29"/>
      <c r="J54" s="29"/>
    </row>
    <row r="55" spans="1:10" ht="15.75" thickBot="1" x14ac:dyDescent="0.3">
      <c r="A55" s="1"/>
      <c r="B55" s="18" t="s">
        <v>760</v>
      </c>
      <c r="C55" s="2"/>
      <c r="D55" s="31"/>
      <c r="E55" s="31"/>
      <c r="F55" s="96"/>
      <c r="G55" s="29"/>
      <c r="H55" s="29"/>
      <c r="I55" s="29"/>
      <c r="J55" s="29"/>
    </row>
    <row r="56" spans="1:10" ht="15.75" thickBot="1" x14ac:dyDescent="0.3">
      <c r="A56" s="1"/>
      <c r="B56" s="18" t="s">
        <v>761</v>
      </c>
      <c r="C56" s="2"/>
      <c r="D56" s="31"/>
      <c r="E56" s="31"/>
      <c r="F56" s="96"/>
      <c r="G56" s="29"/>
      <c r="H56" s="29"/>
      <c r="I56" s="29"/>
      <c r="J56" s="29"/>
    </row>
    <row r="57" spans="1:10" ht="15.75" thickBot="1" x14ac:dyDescent="0.3">
      <c r="A57" s="1"/>
      <c r="B57" s="18" t="s">
        <v>762</v>
      </c>
      <c r="C57" s="2"/>
      <c r="D57" s="31"/>
      <c r="E57" s="31"/>
      <c r="F57" s="96"/>
      <c r="G57" s="29"/>
      <c r="H57" s="29"/>
      <c r="I57" s="29"/>
      <c r="J57" s="29"/>
    </row>
    <row r="58" spans="1:10" ht="15.75" thickBot="1" x14ac:dyDescent="0.3">
      <c r="A58" s="1"/>
      <c r="B58" s="18" t="s">
        <v>763</v>
      </c>
      <c r="C58" s="2"/>
      <c r="D58" s="31"/>
      <c r="E58" s="31"/>
      <c r="F58" s="96"/>
      <c r="G58" s="29"/>
      <c r="H58" s="29"/>
      <c r="I58" s="29"/>
      <c r="J58" s="29"/>
    </row>
    <row r="59" spans="1:10" ht="15.75" thickBot="1" x14ac:dyDescent="0.3">
      <c r="A59" s="1"/>
      <c r="B59" s="18" t="s">
        <v>764</v>
      </c>
      <c r="C59" s="2"/>
      <c r="D59" s="31"/>
      <c r="E59" s="31"/>
      <c r="F59" s="96"/>
      <c r="G59" s="29"/>
      <c r="H59" s="29"/>
      <c r="I59" s="29"/>
      <c r="J59" s="29"/>
    </row>
    <row r="60" spans="1:10" ht="15.75" thickBot="1" x14ac:dyDescent="0.3">
      <c r="A60" s="20"/>
      <c r="B60" s="21" t="s">
        <v>690</v>
      </c>
      <c r="C60" s="95"/>
      <c r="D60" s="22"/>
      <c r="E60" s="22"/>
      <c r="F60" s="94"/>
      <c r="G60" s="29"/>
      <c r="H60" s="29"/>
      <c r="I60" s="29"/>
      <c r="J60" s="29"/>
    </row>
    <row r="61" spans="1:10" ht="15.75" thickBot="1" x14ac:dyDescent="0.3">
      <c r="A61" s="1"/>
      <c r="B61" s="18" t="s">
        <v>691</v>
      </c>
      <c r="C61" s="2"/>
      <c r="D61" s="31"/>
      <c r="E61" s="31"/>
      <c r="F61" s="96"/>
      <c r="G61" s="29"/>
      <c r="H61" s="29"/>
      <c r="I61" s="29"/>
      <c r="J61" s="29"/>
    </row>
    <row r="62" spans="1:10" ht="15.75" thickBot="1" x14ac:dyDescent="0.3">
      <c r="A62" s="1"/>
      <c r="B62" s="18" t="s">
        <v>766</v>
      </c>
      <c r="C62" s="2"/>
      <c r="D62" s="31"/>
      <c r="E62" s="31"/>
      <c r="F62" s="96"/>
      <c r="G62" s="29"/>
      <c r="H62" s="29"/>
      <c r="I62" s="29"/>
      <c r="J62" s="29"/>
    </row>
    <row r="63" spans="1:10" ht="15.75" thickBot="1" x14ac:dyDescent="0.3">
      <c r="A63" s="1"/>
      <c r="B63" s="18" t="s">
        <v>692</v>
      </c>
      <c r="C63" s="2"/>
      <c r="D63" s="31"/>
      <c r="E63" s="31"/>
      <c r="F63" s="96"/>
      <c r="G63" s="29"/>
      <c r="H63" s="29"/>
      <c r="I63" s="29"/>
      <c r="J63" s="29"/>
    </row>
    <row r="64" spans="1:10" ht="15.75" thickBot="1" x14ac:dyDescent="0.3">
      <c r="A64" s="1"/>
      <c r="B64" s="32" t="s">
        <v>767</v>
      </c>
      <c r="C64" s="2"/>
      <c r="D64" s="33"/>
      <c r="E64" s="33"/>
      <c r="F64" s="96"/>
      <c r="G64" s="29"/>
      <c r="H64" s="29"/>
      <c r="I64" s="29"/>
      <c r="J64" s="29"/>
    </row>
    <row r="65" spans="1:10" x14ac:dyDescent="0.25">
      <c r="A65" s="1"/>
      <c r="B65" s="18"/>
      <c r="C65" s="34"/>
      <c r="D65" s="34"/>
      <c r="E65" s="34"/>
      <c r="F65" s="34"/>
      <c r="G65" s="29"/>
      <c r="H65" s="29"/>
      <c r="I65" s="29"/>
      <c r="J65" s="29"/>
    </row>
    <row r="66" spans="1:10" ht="18.75" x14ac:dyDescent="0.3">
      <c r="A66" s="19" t="s">
        <v>95</v>
      </c>
      <c r="B66" s="18"/>
      <c r="C66" s="34"/>
      <c r="D66" s="34"/>
      <c r="E66" s="34"/>
      <c r="F66" s="34"/>
      <c r="G66" s="29"/>
      <c r="H66" s="29"/>
      <c r="I66" s="29"/>
      <c r="J66" s="29"/>
    </row>
    <row r="67" spans="1:10" ht="15.75" thickBot="1" x14ac:dyDescent="0.3">
      <c r="A67" s="1"/>
      <c r="B67" s="18"/>
      <c r="C67" s="34"/>
      <c r="D67" s="34"/>
      <c r="E67" s="34"/>
      <c r="F67" s="34"/>
      <c r="G67" s="29"/>
      <c r="H67" s="29"/>
      <c r="I67" s="29"/>
      <c r="J67" s="29"/>
    </row>
    <row r="68" spans="1:10" ht="18" customHeight="1" thickBot="1" x14ac:dyDescent="0.3">
      <c r="B68" s="18" t="s">
        <v>12</v>
      </c>
      <c r="C68" s="7"/>
      <c r="D68" t="s">
        <v>13</v>
      </c>
      <c r="F68" s="18"/>
      <c r="G68" s="35"/>
      <c r="H68" s="35"/>
      <c r="I68" s="35"/>
    </row>
    <row r="69" spans="1:10" ht="18" customHeight="1" thickBot="1" x14ac:dyDescent="0.3">
      <c r="F69" s="18"/>
      <c r="G69" s="35"/>
      <c r="H69" s="35"/>
      <c r="I69" s="35"/>
    </row>
    <row r="70" spans="1:10" ht="18" customHeight="1" thickBot="1" x14ac:dyDescent="0.3">
      <c r="A70" s="427" t="s">
        <v>14</v>
      </c>
      <c r="B70" s="427"/>
      <c r="C70" s="7"/>
      <c r="D70" t="s">
        <v>13</v>
      </c>
      <c r="E70" s="36" t="s">
        <v>693</v>
      </c>
      <c r="G70" s="35"/>
      <c r="H70" s="35"/>
      <c r="I70" s="35"/>
    </row>
    <row r="71" spans="1:10" ht="18" customHeight="1" thickBot="1" x14ac:dyDescent="0.3">
      <c r="F71" s="18"/>
      <c r="G71" s="35"/>
      <c r="H71" s="35"/>
      <c r="I71" s="35"/>
    </row>
    <row r="72" spans="1:10" ht="18" customHeight="1" thickBot="1" x14ac:dyDescent="0.3">
      <c r="A72" s="37"/>
      <c r="B72" s="75" t="s">
        <v>16</v>
      </c>
      <c r="C72" s="38">
        <f>C68-C70</f>
        <v>0</v>
      </c>
      <c r="D72" t="s">
        <v>13</v>
      </c>
      <c r="F72" s="18"/>
      <c r="G72" s="35"/>
      <c r="H72" s="35"/>
      <c r="I72" s="35"/>
    </row>
    <row r="73" spans="1:10" ht="18" customHeight="1" thickBot="1" x14ac:dyDescent="0.3">
      <c r="F73" s="18"/>
      <c r="G73" s="35"/>
      <c r="H73" s="35"/>
      <c r="I73" s="35"/>
    </row>
    <row r="74" spans="1:10" ht="18" customHeight="1" thickBot="1" x14ac:dyDescent="0.3">
      <c r="A74" s="427" t="s">
        <v>719</v>
      </c>
      <c r="B74" s="427"/>
      <c r="C74" s="7"/>
      <c r="D74" t="s">
        <v>13</v>
      </c>
      <c r="E74" s="39" t="s">
        <v>720</v>
      </c>
      <c r="G74" s="35"/>
      <c r="H74" s="35"/>
      <c r="I74" s="35"/>
    </row>
    <row r="75" spans="1:10" ht="18" customHeight="1" thickBot="1" x14ac:dyDescent="0.3">
      <c r="A75" s="427" t="s">
        <v>717</v>
      </c>
      <c r="B75" s="427"/>
      <c r="C75" s="7"/>
      <c r="D75" t="s">
        <v>13</v>
      </c>
      <c r="E75" s="39" t="s">
        <v>718</v>
      </c>
      <c r="G75" s="35"/>
      <c r="H75" s="35"/>
      <c r="I75" s="35"/>
    </row>
    <row r="76" spans="1:10" ht="18" customHeight="1" thickBot="1" x14ac:dyDescent="0.3">
      <c r="F76" s="18"/>
      <c r="G76" s="35"/>
      <c r="H76" s="35"/>
      <c r="I76" s="35"/>
    </row>
    <row r="77" spans="1:10" ht="18" customHeight="1" thickBot="1" x14ac:dyDescent="0.3">
      <c r="A77" s="134"/>
      <c r="B77" s="75" t="s">
        <v>17</v>
      </c>
      <c r="C77" s="38">
        <f>C72-C74-C75</f>
        <v>0</v>
      </c>
      <c r="D77" t="s">
        <v>13</v>
      </c>
      <c r="F77" s="18"/>
      <c r="G77" s="35"/>
      <c r="H77" s="35"/>
      <c r="I77" s="35"/>
    </row>
    <row r="78" spans="1:10" ht="18" customHeight="1" thickBot="1" x14ac:dyDescent="0.3">
      <c r="E78" s="18"/>
      <c r="F78" s="411" t="s">
        <v>18</v>
      </c>
      <c r="G78" s="93"/>
      <c r="H78" s="412" t="s">
        <v>13</v>
      </c>
    </row>
    <row r="79" spans="1:10" ht="28.35" customHeight="1" thickBot="1" x14ac:dyDescent="0.3">
      <c r="A79" s="427" t="s">
        <v>695</v>
      </c>
      <c r="B79" s="427"/>
      <c r="C79" s="16"/>
      <c r="D79" t="s">
        <v>13</v>
      </c>
      <c r="F79" s="411" t="s">
        <v>19</v>
      </c>
      <c r="G79" s="16"/>
      <c r="H79" s="40" t="s">
        <v>13</v>
      </c>
    </row>
    <row r="80" spans="1:10" ht="18" customHeight="1" thickBot="1" x14ac:dyDescent="0.3">
      <c r="E80" s="18"/>
      <c r="F80" s="411" t="s">
        <v>20</v>
      </c>
      <c r="G80" s="16"/>
      <c r="H80" s="40" t="s">
        <v>13</v>
      </c>
    </row>
    <row r="81" spans="1:9" ht="29.65" customHeight="1" thickBot="1" x14ac:dyDescent="0.3">
      <c r="A81" s="427" t="s">
        <v>694</v>
      </c>
      <c r="B81" s="427"/>
      <c r="C81" s="16"/>
      <c r="D81" t="s">
        <v>13</v>
      </c>
      <c r="E81" s="18"/>
      <c r="F81" s="18"/>
      <c r="G81" s="18"/>
      <c r="H81" s="40"/>
    </row>
    <row r="82" spans="1:9" ht="18" customHeight="1" thickBot="1" x14ac:dyDescent="0.3">
      <c r="E82" s="18"/>
      <c r="F82" s="18"/>
      <c r="G82" s="18"/>
      <c r="H82" s="40"/>
    </row>
    <row r="83" spans="1:9" ht="18" customHeight="1" thickBot="1" x14ac:dyDescent="0.3">
      <c r="A83" s="428" t="s">
        <v>21</v>
      </c>
      <c r="B83" s="429"/>
      <c r="C83" s="38">
        <f>C77-C79</f>
        <v>0</v>
      </c>
      <c r="D83" t="s">
        <v>13</v>
      </c>
      <c r="F83" s="18"/>
      <c r="H83" s="35"/>
      <c r="I83" s="35"/>
    </row>
    <row r="84" spans="1:9" ht="18" customHeight="1" thickBot="1" x14ac:dyDescent="0.3">
      <c r="E84" s="18"/>
      <c r="F84" s="18" t="s">
        <v>22</v>
      </c>
      <c r="G84" s="7"/>
      <c r="H84" s="40" t="s">
        <v>13</v>
      </c>
      <c r="I84" s="35"/>
    </row>
    <row r="85" spans="1:9" ht="18" customHeight="1" thickBot="1" x14ac:dyDescent="0.3">
      <c r="A85" s="427" t="s">
        <v>721</v>
      </c>
      <c r="B85" s="427"/>
      <c r="C85" s="7"/>
      <c r="D85" t="s">
        <v>13</v>
      </c>
      <c r="F85" s="18" t="s">
        <v>23</v>
      </c>
      <c r="G85" s="7"/>
      <c r="H85" s="40" t="s">
        <v>13</v>
      </c>
      <c r="I85" s="35"/>
    </row>
    <row r="86" spans="1:9" ht="18" customHeight="1" thickBot="1" x14ac:dyDescent="0.3">
      <c r="E86" s="18"/>
      <c r="F86" s="18" t="s">
        <v>24</v>
      </c>
      <c r="G86" s="7"/>
      <c r="H86" s="40" t="s">
        <v>13</v>
      </c>
      <c r="I86" s="35"/>
    </row>
    <row r="87" spans="1:9" ht="18" customHeight="1" thickBot="1" x14ac:dyDescent="0.3">
      <c r="A87" s="427" t="s">
        <v>728</v>
      </c>
      <c r="B87" s="427"/>
      <c r="C87" s="7"/>
      <c r="D87" t="s">
        <v>13</v>
      </c>
      <c r="E87" s="18"/>
      <c r="F87" s="18"/>
      <c r="G87" s="18"/>
      <c r="H87" s="40"/>
      <c r="I87" s="35"/>
    </row>
    <row r="88" spans="1:9" ht="18" customHeight="1" thickBot="1" x14ac:dyDescent="0.3">
      <c r="A88" s="413"/>
      <c r="B88" s="413"/>
      <c r="C88" s="413"/>
      <c r="E88" s="18"/>
      <c r="F88" s="18"/>
      <c r="G88" s="18"/>
      <c r="H88" s="40"/>
      <c r="I88" s="35"/>
    </row>
    <row r="89" spans="1:9" ht="30" customHeight="1" thickBot="1" x14ac:dyDescent="0.3">
      <c r="A89" s="427" t="s">
        <v>722</v>
      </c>
      <c r="B89" s="427"/>
      <c r="C89" s="16"/>
      <c r="D89" t="s">
        <v>13</v>
      </c>
      <c r="E89" s="18"/>
      <c r="F89" s="136" t="s">
        <v>726</v>
      </c>
      <c r="G89" s="16"/>
      <c r="H89" s="40" t="s">
        <v>13</v>
      </c>
      <c r="I89" s="35"/>
    </row>
    <row r="90" spans="1:9" ht="15.75" thickBot="1" x14ac:dyDescent="0.3">
      <c r="F90" s="18" t="s">
        <v>727</v>
      </c>
      <c r="G90" s="7"/>
      <c r="H90" s="40" t="s">
        <v>13</v>
      </c>
      <c r="I90" s="35"/>
    </row>
    <row r="91" spans="1:9" x14ac:dyDescent="0.25">
      <c r="F91" s="18"/>
      <c r="G91" s="18"/>
      <c r="H91" s="40"/>
      <c r="I91" s="35"/>
    </row>
    <row r="92" spans="1:9" ht="18.75" x14ac:dyDescent="0.3">
      <c r="A92" s="19" t="s">
        <v>98</v>
      </c>
      <c r="F92" s="18"/>
      <c r="G92" s="35"/>
      <c r="H92" s="35"/>
      <c r="I92" s="35"/>
    </row>
    <row r="93" spans="1:9" ht="15.75" x14ac:dyDescent="0.25">
      <c r="A93" s="41"/>
      <c r="F93" s="18"/>
      <c r="G93" s="35"/>
      <c r="H93" s="35"/>
      <c r="I93" s="35"/>
    </row>
    <row r="94" spans="1:9" ht="15.75" x14ac:dyDescent="0.25">
      <c r="A94" s="41"/>
      <c r="F94" s="18"/>
      <c r="G94" s="35"/>
      <c r="H94" s="35"/>
      <c r="I94" s="35"/>
    </row>
    <row r="95" spans="1:9" ht="15.75" x14ac:dyDescent="0.25">
      <c r="A95" s="41"/>
      <c r="F95" s="18"/>
      <c r="G95" s="35"/>
      <c r="H95" s="35"/>
      <c r="I95" s="35"/>
    </row>
    <row r="96" spans="1:9" x14ac:dyDescent="0.25">
      <c r="F96" s="18"/>
      <c r="G96" s="35"/>
      <c r="H96" s="35"/>
      <c r="I96" s="35"/>
    </row>
    <row r="97" spans="1:9" x14ac:dyDescent="0.25">
      <c r="A97" s="42" t="s">
        <v>114</v>
      </c>
      <c r="F97" s="18"/>
      <c r="G97" s="35"/>
      <c r="H97" s="35"/>
      <c r="I97" s="35"/>
    </row>
    <row r="98" spans="1:9" ht="15.75" thickBot="1" x14ac:dyDescent="0.3">
      <c r="F98" s="18"/>
      <c r="G98" s="35"/>
      <c r="H98" s="35"/>
      <c r="I98" s="35"/>
    </row>
    <row r="99" spans="1:9" ht="45.75" thickBot="1" x14ac:dyDescent="0.3">
      <c r="A99" s="414" t="s">
        <v>25</v>
      </c>
      <c r="B99" s="415" t="s">
        <v>26</v>
      </c>
      <c r="C99" s="415" t="s">
        <v>96</v>
      </c>
      <c r="D99" s="415" t="s">
        <v>97</v>
      </c>
      <c r="E99" s="416" t="s">
        <v>27</v>
      </c>
      <c r="F99" s="35"/>
      <c r="G99" s="35"/>
      <c r="H99" s="35"/>
    </row>
    <row r="100" spans="1:9" ht="15.75" thickBot="1" x14ac:dyDescent="0.3">
      <c r="A100" s="84" t="s">
        <v>28</v>
      </c>
      <c r="B100" s="17"/>
      <c r="C100" s="417" t="s">
        <v>29</v>
      </c>
      <c r="D100" s="17"/>
      <c r="E100" s="418">
        <f>B100*D100</f>
        <v>0</v>
      </c>
      <c r="F100" s="35"/>
      <c r="G100" s="35"/>
      <c r="H100" s="35"/>
    </row>
    <row r="101" spans="1:9" ht="15.75" thickBot="1" x14ac:dyDescent="0.3">
      <c r="A101" s="85" t="s">
        <v>30</v>
      </c>
      <c r="B101" s="17"/>
      <c r="C101" s="88" t="s">
        <v>31</v>
      </c>
      <c r="D101" s="17"/>
      <c r="E101" s="419">
        <f t="shared" ref="E101:E115" si="0">B101*D101</f>
        <v>0</v>
      </c>
      <c r="F101" s="35"/>
      <c r="G101" s="35"/>
      <c r="H101" s="35"/>
    </row>
    <row r="102" spans="1:9" ht="15.75" thickBot="1" x14ac:dyDescent="0.3">
      <c r="A102" s="85" t="s">
        <v>32</v>
      </c>
      <c r="B102" s="17"/>
      <c r="C102" s="88" t="s">
        <v>33</v>
      </c>
      <c r="D102" s="17"/>
      <c r="E102" s="419">
        <f t="shared" si="0"/>
        <v>0</v>
      </c>
      <c r="F102" s="35"/>
      <c r="G102" s="35"/>
      <c r="H102" s="35"/>
    </row>
    <row r="103" spans="1:9" ht="15.75" thickBot="1" x14ac:dyDescent="0.3">
      <c r="A103" s="85" t="s">
        <v>34</v>
      </c>
      <c r="B103" s="17"/>
      <c r="C103" s="88" t="s">
        <v>31</v>
      </c>
      <c r="D103" s="17"/>
      <c r="E103" s="419">
        <f t="shared" si="0"/>
        <v>0</v>
      </c>
      <c r="F103" s="35"/>
      <c r="G103" s="35"/>
      <c r="H103" s="35"/>
    </row>
    <row r="104" spans="1:9" ht="15.75" thickBot="1" x14ac:dyDescent="0.3">
      <c r="A104" s="85" t="s">
        <v>35</v>
      </c>
      <c r="B104" s="17"/>
      <c r="C104" s="88" t="s">
        <v>33</v>
      </c>
      <c r="D104" s="17"/>
      <c r="E104" s="419">
        <f t="shared" si="0"/>
        <v>0</v>
      </c>
      <c r="F104" s="35"/>
      <c r="G104" s="35"/>
      <c r="H104" s="35"/>
    </row>
    <row r="105" spans="1:9" ht="15.75" thickBot="1" x14ac:dyDescent="0.3">
      <c r="A105" s="85" t="s">
        <v>36</v>
      </c>
      <c r="B105" s="17"/>
      <c r="C105" s="88" t="s">
        <v>37</v>
      </c>
      <c r="D105" s="17"/>
      <c r="E105" s="419">
        <f t="shared" si="0"/>
        <v>0</v>
      </c>
      <c r="F105" s="35"/>
      <c r="G105" s="35"/>
      <c r="H105" s="35"/>
    </row>
    <row r="106" spans="1:9" ht="15.75" thickBot="1" x14ac:dyDescent="0.3">
      <c r="A106" s="85" t="s">
        <v>38</v>
      </c>
      <c r="B106" s="17"/>
      <c r="C106" s="88" t="s">
        <v>39</v>
      </c>
      <c r="D106" s="17"/>
      <c r="E106" s="419">
        <f t="shared" si="0"/>
        <v>0</v>
      </c>
      <c r="F106" s="35"/>
      <c r="G106" s="35"/>
      <c r="H106" s="35"/>
    </row>
    <row r="107" spans="1:9" ht="15.75" thickBot="1" x14ac:dyDescent="0.3">
      <c r="A107" s="85" t="s">
        <v>40</v>
      </c>
      <c r="B107" s="17"/>
      <c r="C107" s="88" t="s">
        <v>31</v>
      </c>
      <c r="D107" s="17"/>
      <c r="E107" s="419">
        <f t="shared" si="0"/>
        <v>0</v>
      </c>
      <c r="F107" s="35"/>
      <c r="G107" s="35"/>
      <c r="H107" s="35"/>
    </row>
    <row r="108" spans="1:9" ht="15.75" thickBot="1" x14ac:dyDescent="0.3">
      <c r="A108" s="85" t="s">
        <v>41</v>
      </c>
      <c r="B108" s="17"/>
      <c r="C108" s="88" t="s">
        <v>42</v>
      </c>
      <c r="D108" s="17"/>
      <c r="E108" s="419">
        <f t="shared" si="0"/>
        <v>0</v>
      </c>
      <c r="F108" s="35"/>
      <c r="G108" s="35"/>
      <c r="H108" s="35"/>
    </row>
    <row r="109" spans="1:9" ht="15.75" thickBot="1" x14ac:dyDescent="0.3">
      <c r="A109" s="85" t="s">
        <v>43</v>
      </c>
      <c r="B109" s="17"/>
      <c r="C109" s="88" t="s">
        <v>44</v>
      </c>
      <c r="D109" s="17"/>
      <c r="E109" s="419">
        <f t="shared" si="0"/>
        <v>0</v>
      </c>
      <c r="F109" s="35"/>
      <c r="G109" s="35"/>
      <c r="H109" s="35"/>
    </row>
    <row r="110" spans="1:9" ht="15.75" thickBot="1" x14ac:dyDescent="0.3">
      <c r="A110" s="85" t="s">
        <v>45</v>
      </c>
      <c r="B110" s="17"/>
      <c r="C110" s="88" t="s">
        <v>46</v>
      </c>
      <c r="D110" s="17"/>
      <c r="E110" s="419">
        <f t="shared" si="0"/>
        <v>0</v>
      </c>
      <c r="F110" s="35"/>
      <c r="G110" s="35"/>
      <c r="H110" s="35"/>
    </row>
    <row r="111" spans="1:9" ht="15.75" thickBot="1" x14ac:dyDescent="0.3">
      <c r="A111" s="85" t="s">
        <v>47</v>
      </c>
      <c r="B111" s="17"/>
      <c r="C111" s="88" t="s">
        <v>48</v>
      </c>
      <c r="D111" s="17"/>
      <c r="E111" s="419">
        <f t="shared" si="0"/>
        <v>0</v>
      </c>
      <c r="F111" s="35"/>
      <c r="G111" s="35"/>
      <c r="H111" s="35"/>
    </row>
    <row r="112" spans="1:9" ht="15.75" thickBot="1" x14ac:dyDescent="0.3">
      <c r="A112" s="85" t="s">
        <v>49</v>
      </c>
      <c r="B112" s="17"/>
      <c r="C112" s="88"/>
      <c r="D112" s="17"/>
      <c r="E112" s="419">
        <f t="shared" si="0"/>
        <v>0</v>
      </c>
      <c r="F112" s="35"/>
      <c r="G112" s="35"/>
      <c r="H112" s="35"/>
    </row>
    <row r="113" spans="1:9" ht="15.75" thickBot="1" x14ac:dyDescent="0.3">
      <c r="A113" s="85" t="s">
        <v>50</v>
      </c>
      <c r="B113" s="17"/>
      <c r="C113" s="88"/>
      <c r="D113" s="17"/>
      <c r="E113" s="419">
        <f t="shared" si="0"/>
        <v>0</v>
      </c>
      <c r="F113" s="35"/>
      <c r="G113" s="35"/>
      <c r="H113" s="35"/>
    </row>
    <row r="114" spans="1:9" ht="15.75" thickBot="1" x14ac:dyDescent="0.3">
      <c r="A114" s="85" t="s">
        <v>51</v>
      </c>
      <c r="B114" s="17"/>
      <c r="C114" s="89"/>
      <c r="D114" s="17"/>
      <c r="E114" s="419">
        <f t="shared" si="0"/>
        <v>0</v>
      </c>
      <c r="F114" s="35"/>
      <c r="G114" s="35"/>
      <c r="H114" s="35"/>
    </row>
    <row r="115" spans="1:9" ht="15.75" thickBot="1" x14ac:dyDescent="0.3">
      <c r="A115" s="87" t="s">
        <v>696</v>
      </c>
      <c r="B115" s="17"/>
      <c r="C115" s="90"/>
      <c r="D115" s="17"/>
      <c r="E115" s="420">
        <f t="shared" si="0"/>
        <v>0</v>
      </c>
      <c r="F115" s="35"/>
      <c r="G115" s="35"/>
      <c r="H115" s="35"/>
    </row>
    <row r="116" spans="1:9" x14ac:dyDescent="0.25">
      <c r="A116" s="18"/>
      <c r="F116" s="18"/>
      <c r="G116" s="35"/>
      <c r="H116" s="35"/>
      <c r="I116" s="35"/>
    </row>
    <row r="117" spans="1:9" x14ac:dyDescent="0.25">
      <c r="A117" s="43"/>
      <c r="B117" s="15" t="s">
        <v>52</v>
      </c>
      <c r="C117" s="44">
        <f>SUM(E100:E115)</f>
        <v>0</v>
      </c>
      <c r="D117" s="3"/>
      <c r="E117" s="3"/>
    </row>
    <row r="118" spans="1:9" x14ac:dyDescent="0.25">
      <c r="A118" s="3"/>
      <c r="B118" s="6"/>
      <c r="C118" s="45"/>
      <c r="D118" s="3"/>
      <c r="E118" s="3"/>
    </row>
    <row r="119" spans="1:9" x14ac:dyDescent="0.25">
      <c r="A119" s="3"/>
      <c r="B119" s="6"/>
      <c r="C119" s="45"/>
      <c r="D119" s="3"/>
      <c r="E119" s="3"/>
    </row>
    <row r="120" spans="1:9" x14ac:dyDescent="0.25">
      <c r="A120" s="42" t="s">
        <v>115</v>
      </c>
      <c r="F120" s="18"/>
      <c r="G120" s="35"/>
      <c r="H120" s="35"/>
      <c r="I120" s="35"/>
    </row>
    <row r="121" spans="1:9" ht="15.75" thickBot="1" x14ac:dyDescent="0.3">
      <c r="F121" s="18"/>
      <c r="G121" s="35"/>
      <c r="H121" s="35"/>
      <c r="I121" s="35"/>
    </row>
    <row r="122" spans="1:9" ht="27.4" customHeight="1" thickBot="1" x14ac:dyDescent="0.3">
      <c r="A122" s="430" t="s">
        <v>54</v>
      </c>
      <c r="B122" s="432" t="s">
        <v>55</v>
      </c>
      <c r="C122" s="434" t="s">
        <v>56</v>
      </c>
      <c r="D122" s="435"/>
      <c r="E122" s="423" t="s">
        <v>57</v>
      </c>
      <c r="F122" s="35"/>
      <c r="G122" s="425" t="s">
        <v>58</v>
      </c>
      <c r="H122" s="426"/>
      <c r="I122" s="426"/>
    </row>
    <row r="123" spans="1:9" ht="15.75" thickBot="1" x14ac:dyDescent="0.3">
      <c r="A123" s="431"/>
      <c r="B123" s="433"/>
      <c r="C123" s="46" t="s">
        <v>59</v>
      </c>
      <c r="D123" s="91" t="s">
        <v>60</v>
      </c>
      <c r="E123" s="424"/>
      <c r="F123" s="35"/>
      <c r="G123" s="426"/>
      <c r="H123" s="426"/>
      <c r="I123" s="426"/>
    </row>
    <row r="124" spans="1:9" ht="15.75" thickBot="1" x14ac:dyDescent="0.3">
      <c r="A124" s="84" t="s">
        <v>701</v>
      </c>
      <c r="B124" s="17">
        <v>0</v>
      </c>
      <c r="C124" s="88" t="s">
        <v>61</v>
      </c>
      <c r="D124" s="7"/>
      <c r="E124" s="418">
        <f>B124*D124</f>
        <v>0</v>
      </c>
      <c r="F124" s="35"/>
      <c r="G124" s="35"/>
      <c r="H124" s="35"/>
    </row>
    <row r="125" spans="1:9" ht="15.75" thickBot="1" x14ac:dyDescent="0.3">
      <c r="A125" s="85" t="s">
        <v>62</v>
      </c>
      <c r="B125" s="17"/>
      <c r="C125" s="88" t="s">
        <v>63</v>
      </c>
      <c r="D125" s="92"/>
      <c r="E125" s="419">
        <f t="shared" ref="E125:E128" si="1">B125*D125</f>
        <v>0</v>
      </c>
      <c r="F125" s="35"/>
      <c r="G125" s="35"/>
      <c r="H125" s="35"/>
    </row>
    <row r="126" spans="1:9" ht="15.75" thickBot="1" x14ac:dyDescent="0.3">
      <c r="A126" s="85" t="s">
        <v>697</v>
      </c>
      <c r="B126" s="17"/>
      <c r="C126" s="88"/>
      <c r="D126" s="7"/>
      <c r="E126" s="419">
        <f t="shared" si="1"/>
        <v>0</v>
      </c>
      <c r="F126" s="35"/>
      <c r="G126" s="35"/>
      <c r="H126" s="35"/>
    </row>
    <row r="127" spans="1:9" ht="15.75" thickBot="1" x14ac:dyDescent="0.3">
      <c r="A127" s="85" t="s">
        <v>698</v>
      </c>
      <c r="B127" s="17"/>
      <c r="C127" s="89"/>
      <c r="D127" s="7"/>
      <c r="E127" s="419">
        <f t="shared" si="1"/>
        <v>0</v>
      </c>
      <c r="F127" s="35"/>
      <c r="G127" s="35"/>
      <c r="H127" s="35"/>
    </row>
    <row r="128" spans="1:9" ht="15.75" thickBot="1" x14ac:dyDescent="0.3">
      <c r="A128" s="86" t="s">
        <v>699</v>
      </c>
      <c r="B128" s="17"/>
      <c r="C128" s="89"/>
      <c r="D128" s="7"/>
      <c r="E128" s="419">
        <f t="shared" si="1"/>
        <v>0</v>
      </c>
      <c r="F128" s="35"/>
      <c r="G128" s="35"/>
      <c r="H128" s="35"/>
    </row>
    <row r="129" spans="1:12" ht="15.75" thickBot="1" x14ac:dyDescent="0.3">
      <c r="A129" s="87" t="s">
        <v>700</v>
      </c>
      <c r="B129" s="17"/>
      <c r="C129" s="90"/>
      <c r="D129" s="7"/>
      <c r="E129" s="420">
        <f>B129*D129</f>
        <v>0</v>
      </c>
      <c r="F129" s="35"/>
      <c r="G129" s="35"/>
      <c r="H129" s="35"/>
    </row>
    <row r="130" spans="1:12" x14ac:dyDescent="0.25">
      <c r="A130" s="18" t="s">
        <v>853</v>
      </c>
      <c r="B130" s="421"/>
      <c r="C130" s="3"/>
      <c r="D130" s="422"/>
      <c r="E130" s="118"/>
      <c r="F130" s="35"/>
      <c r="G130" s="35"/>
      <c r="H130" s="35"/>
    </row>
    <row r="131" spans="1:12" x14ac:dyDescent="0.25">
      <c r="A131" s="18"/>
      <c r="F131" s="18"/>
      <c r="G131" s="35"/>
      <c r="H131" s="35"/>
      <c r="I131" s="35"/>
    </row>
    <row r="132" spans="1:12" x14ac:dyDescent="0.25">
      <c r="A132" s="43"/>
      <c r="B132" s="15" t="s">
        <v>52</v>
      </c>
      <c r="C132" s="44">
        <f>SUM(E124:E129)</f>
        <v>0</v>
      </c>
      <c r="D132" s="3"/>
      <c r="E132" s="3"/>
    </row>
    <row r="133" spans="1:12" x14ac:dyDescent="0.25">
      <c r="A133" s="1"/>
      <c r="B133" s="18"/>
      <c r="C133" s="34"/>
      <c r="D133" s="34"/>
      <c r="E133" s="34"/>
      <c r="F133" s="34"/>
      <c r="G133" s="29"/>
      <c r="H133" s="29"/>
      <c r="I133" s="29"/>
      <c r="J133" s="29"/>
    </row>
    <row r="134" spans="1:12" x14ac:dyDescent="0.25">
      <c r="A134" s="1"/>
      <c r="B134" s="18"/>
      <c r="C134" s="34"/>
      <c r="D134" s="34"/>
      <c r="E134" s="34"/>
      <c r="F134" s="34"/>
      <c r="G134" s="29"/>
      <c r="H134" s="29"/>
      <c r="I134" s="29"/>
      <c r="J134" s="29"/>
    </row>
    <row r="135" spans="1:12" ht="18.75" x14ac:dyDescent="0.3">
      <c r="A135" s="19" t="s">
        <v>99</v>
      </c>
      <c r="B135" s="18"/>
      <c r="C135" s="34"/>
      <c r="D135" s="34"/>
      <c r="E135" s="34"/>
      <c r="F135" s="34"/>
      <c r="G135" s="29"/>
      <c r="H135" s="29"/>
      <c r="I135" s="29"/>
      <c r="J135" s="29"/>
    </row>
    <row r="136" spans="1:12" x14ac:dyDescent="0.25">
      <c r="A136" s="1"/>
      <c r="B136" s="18"/>
      <c r="C136" s="34"/>
      <c r="D136" s="34"/>
      <c r="E136" s="34"/>
      <c r="F136" s="34"/>
      <c r="G136" s="29"/>
      <c r="H136" s="29"/>
      <c r="I136" s="29"/>
      <c r="J136" s="29"/>
    </row>
    <row r="137" spans="1:12" x14ac:dyDescent="0.25">
      <c r="A137" s="1"/>
      <c r="B137" s="18"/>
      <c r="C137" s="34"/>
      <c r="D137" s="34"/>
      <c r="E137" s="34"/>
      <c r="F137" s="34"/>
      <c r="G137" s="29"/>
      <c r="H137" s="29"/>
      <c r="I137" s="29"/>
      <c r="J137" s="29"/>
    </row>
    <row r="138" spans="1:12" x14ac:dyDescent="0.25">
      <c r="A138" s="47" t="s">
        <v>304</v>
      </c>
      <c r="B138" s="48"/>
      <c r="C138" s="48"/>
      <c r="D138" s="48"/>
      <c r="E138" s="34"/>
      <c r="F138" s="34"/>
      <c r="G138" s="29"/>
      <c r="H138" s="29"/>
      <c r="I138" s="29"/>
      <c r="J138" s="29"/>
    </row>
    <row r="139" spans="1:12" x14ac:dyDescent="0.25">
      <c r="A139" s="48"/>
      <c r="B139" s="48"/>
      <c r="C139" s="48"/>
      <c r="D139" s="48"/>
      <c r="E139" s="34"/>
      <c r="F139" s="34"/>
      <c r="G139" s="29"/>
      <c r="H139" s="29"/>
      <c r="I139" s="29"/>
      <c r="J139" s="29"/>
    </row>
    <row r="140" spans="1:12" ht="29.25" thickBot="1" x14ac:dyDescent="0.3">
      <c r="A140" s="49" t="s">
        <v>305</v>
      </c>
      <c r="B140" s="50" t="s">
        <v>306</v>
      </c>
      <c r="C140" s="34"/>
      <c r="D140" s="34"/>
      <c r="E140" s="29"/>
      <c r="F140" s="29"/>
      <c r="G140" s="29"/>
      <c r="H140" s="29"/>
      <c r="K140" s="12"/>
      <c r="L140" s="12"/>
    </row>
    <row r="141" spans="1:12" ht="15.75" thickBot="1" x14ac:dyDescent="0.3">
      <c r="A141" s="51" t="s">
        <v>309</v>
      </c>
      <c r="B141" s="8"/>
      <c r="C141" s="34"/>
      <c r="D141" s="34"/>
      <c r="E141" s="29"/>
      <c r="F141" s="29"/>
      <c r="G141" s="29"/>
      <c r="H141" s="29"/>
      <c r="K141" s="12"/>
      <c r="L141" s="12"/>
    </row>
    <row r="142" spans="1:12" ht="15.75" thickBot="1" x14ac:dyDescent="0.3">
      <c r="A142" s="51" t="s">
        <v>310</v>
      </c>
      <c r="B142" s="8"/>
      <c r="C142" s="34"/>
      <c r="D142" s="34"/>
      <c r="E142" s="29"/>
      <c r="F142" s="29"/>
      <c r="G142" s="29"/>
      <c r="H142" s="29"/>
      <c r="K142" s="12"/>
      <c r="L142" s="12"/>
    </row>
    <row r="143" spans="1:12" ht="15.75" thickBot="1" x14ac:dyDescent="0.3">
      <c r="A143" s="51" t="s">
        <v>315</v>
      </c>
      <c r="B143" s="8"/>
      <c r="C143" s="34"/>
      <c r="D143" s="34"/>
      <c r="E143" s="29"/>
      <c r="F143" s="29"/>
      <c r="G143" s="29"/>
      <c r="H143" s="29"/>
      <c r="K143" s="12"/>
      <c r="L143" s="12"/>
    </row>
    <row r="144" spans="1:12" ht="15.75" thickBot="1" x14ac:dyDescent="0.3">
      <c r="A144" s="51" t="s">
        <v>316</v>
      </c>
      <c r="B144" s="8"/>
      <c r="C144" s="34"/>
      <c r="D144" s="34"/>
      <c r="E144" s="29"/>
      <c r="F144" s="29"/>
      <c r="G144" s="29"/>
      <c r="H144" s="29"/>
      <c r="K144" s="12"/>
      <c r="L144" s="12"/>
    </row>
    <row r="145" spans="1:13" ht="15.75" thickBot="1" x14ac:dyDescent="0.3">
      <c r="A145" s="51" t="s">
        <v>311</v>
      </c>
      <c r="B145" s="8"/>
      <c r="C145" s="34"/>
      <c r="D145" s="34"/>
      <c r="E145" s="29"/>
      <c r="F145" s="29"/>
      <c r="G145" s="29"/>
      <c r="H145" s="29"/>
      <c r="K145" s="12"/>
      <c r="L145" s="12"/>
    </row>
    <row r="146" spans="1:13" ht="15.75" thickBot="1" x14ac:dyDescent="0.3">
      <c r="A146" s="51" t="s">
        <v>491</v>
      </c>
      <c r="B146" s="8"/>
      <c r="C146" s="34"/>
      <c r="D146" s="34"/>
      <c r="E146" s="29"/>
      <c r="F146" s="29"/>
      <c r="G146" s="29"/>
      <c r="H146" s="29"/>
      <c r="K146" s="12"/>
      <c r="L146" s="12"/>
    </row>
    <row r="147" spans="1:13" x14ac:dyDescent="0.25">
      <c r="A147" s="51" t="s">
        <v>313</v>
      </c>
      <c r="B147" s="8"/>
      <c r="C147" s="34"/>
      <c r="D147" s="34"/>
      <c r="E147" s="29"/>
      <c r="F147" s="29"/>
      <c r="G147" s="29"/>
      <c r="H147" s="29"/>
      <c r="K147" s="12"/>
      <c r="L147" s="12"/>
    </row>
    <row r="148" spans="1:13" x14ac:dyDescent="0.25">
      <c r="A148" s="48"/>
      <c r="B148" s="48"/>
      <c r="C148" s="34"/>
      <c r="D148" s="34"/>
      <c r="E148" s="29"/>
      <c r="F148" s="29"/>
      <c r="G148" s="29"/>
      <c r="H148" s="29"/>
      <c r="K148" s="12"/>
      <c r="L148" s="12"/>
    </row>
    <row r="149" spans="1:13" ht="15.75" thickBot="1" x14ac:dyDescent="0.3">
      <c r="A149" s="15"/>
      <c r="B149" s="15"/>
      <c r="C149" s="15" t="s">
        <v>702</v>
      </c>
      <c r="D149" s="52">
        <f>SUM(B141:B147)/10</f>
        <v>0</v>
      </c>
      <c r="E149" s="34"/>
      <c r="F149" s="34"/>
      <c r="G149" s="29"/>
      <c r="H149" s="29"/>
      <c r="I149" s="29"/>
      <c r="J149" s="29"/>
    </row>
    <row r="150" spans="1:13" ht="15.75" thickBot="1" x14ac:dyDescent="0.3">
      <c r="A150" s="15"/>
      <c r="B150" s="15"/>
      <c r="C150" s="15" t="s">
        <v>703</v>
      </c>
      <c r="D150" s="17"/>
      <c r="E150" s="34"/>
      <c r="F150" s="34"/>
      <c r="G150" s="29"/>
      <c r="H150" s="29"/>
      <c r="I150" s="29"/>
      <c r="J150" s="29"/>
    </row>
    <row r="151" spans="1:13" ht="15.75" thickBot="1" x14ac:dyDescent="0.3">
      <c r="A151" s="15"/>
      <c r="B151" s="15"/>
      <c r="C151" s="15" t="s">
        <v>704</v>
      </c>
      <c r="D151" s="17"/>
      <c r="E151" s="34"/>
      <c r="F151" s="34"/>
      <c r="G151" s="29"/>
      <c r="H151" s="29"/>
      <c r="I151" s="29"/>
      <c r="J151" s="29"/>
    </row>
    <row r="152" spans="1:13" ht="15.75" thickBot="1" x14ac:dyDescent="0.3">
      <c r="A152" s="15"/>
      <c r="B152" s="15"/>
      <c r="C152" s="15" t="s">
        <v>705</v>
      </c>
      <c r="D152" s="17"/>
      <c r="E152" s="34"/>
      <c r="F152" s="34"/>
      <c r="G152" s="29"/>
      <c r="H152" s="29"/>
      <c r="I152" s="29"/>
      <c r="J152" s="29"/>
    </row>
    <row r="153" spans="1:13" x14ac:dyDescent="0.25">
      <c r="A153" s="1"/>
      <c r="B153" s="18"/>
      <c r="C153" s="34"/>
      <c r="D153" s="34"/>
      <c r="E153" s="34"/>
      <c r="F153" s="34"/>
      <c r="G153" s="29"/>
      <c r="H153" s="29"/>
      <c r="I153" s="29"/>
      <c r="J153" s="29"/>
    </row>
    <row r="154" spans="1:13" x14ac:dyDescent="0.25">
      <c r="A154" s="47" t="s">
        <v>404</v>
      </c>
      <c r="B154" s="48"/>
      <c r="C154" s="48"/>
      <c r="D154" s="34"/>
      <c r="E154" s="34"/>
      <c r="F154" s="34"/>
      <c r="G154" s="29"/>
      <c r="H154" s="29"/>
      <c r="I154" s="29"/>
      <c r="J154" s="29"/>
    </row>
    <row r="155" spans="1:13" x14ac:dyDescent="0.25">
      <c r="A155" s="48"/>
      <c r="B155" s="48"/>
      <c r="C155" s="48"/>
      <c r="D155" s="34"/>
      <c r="E155" s="34"/>
      <c r="F155" s="34"/>
      <c r="G155" s="29"/>
      <c r="H155" s="29"/>
      <c r="I155" s="29"/>
      <c r="J155" s="29"/>
    </row>
    <row r="156" spans="1:13" ht="43.5" thickBot="1" x14ac:dyDescent="0.3">
      <c r="B156" s="442" t="s">
        <v>706</v>
      </c>
      <c r="C156" s="443"/>
      <c r="D156" s="50" t="s">
        <v>317</v>
      </c>
      <c r="E156" s="50" t="s">
        <v>655</v>
      </c>
      <c r="F156" s="50" t="s">
        <v>707</v>
      </c>
      <c r="H156" s="29"/>
      <c r="I156" s="29"/>
      <c r="J156" s="29"/>
      <c r="K156" s="29"/>
      <c r="M156" s="12"/>
    </row>
    <row r="157" spans="1:13" ht="14.1" customHeight="1" thickBot="1" x14ac:dyDescent="0.3">
      <c r="A157">
        <v>1</v>
      </c>
      <c r="B157" s="444"/>
      <c r="C157" s="445"/>
      <c r="D157" s="73"/>
      <c r="E157" s="34" t="str">
        <f>IF($B157="","",VLOOKUP(B157,listes!I$5:Q$64,8,FALSE))</f>
        <v/>
      </c>
      <c r="F157" s="34" t="str">
        <f>IF(E157="C",D157,"")</f>
        <v/>
      </c>
      <c r="G157" s="34"/>
      <c r="H157" s="29"/>
      <c r="I157" s="29"/>
      <c r="J157" s="29"/>
      <c r="K157" s="29"/>
      <c r="M157" s="12"/>
    </row>
    <row r="158" spans="1:13" ht="14.1" customHeight="1" thickBot="1" x14ac:dyDescent="0.3">
      <c r="A158">
        <v>2</v>
      </c>
      <c r="B158" s="444"/>
      <c r="C158" s="445"/>
      <c r="D158" s="73"/>
      <c r="E158" s="34" t="str">
        <f>IF($B158="","",VLOOKUP(B158,listes!I$5:Q$64,8,FALSE))</f>
        <v/>
      </c>
      <c r="F158" s="34" t="str">
        <f t="shared" ref="F158:F166" si="2">IF(E158="C",D158,"")</f>
        <v/>
      </c>
      <c r="G158" s="34"/>
      <c r="H158" s="29"/>
      <c r="I158" s="29"/>
      <c r="J158" s="29"/>
      <c r="K158" s="29"/>
      <c r="M158" s="12"/>
    </row>
    <row r="159" spans="1:13" ht="25.9" customHeight="1" thickBot="1" x14ac:dyDescent="0.3">
      <c r="A159">
        <v>3</v>
      </c>
      <c r="B159" s="444"/>
      <c r="C159" s="445"/>
      <c r="D159" s="73"/>
      <c r="E159" s="34" t="str">
        <f>IF($B159="","",VLOOKUP(B159,listes!I$5:Q$64,8,FALSE))</f>
        <v/>
      </c>
      <c r="F159" s="34" t="str">
        <f t="shared" si="2"/>
        <v/>
      </c>
      <c r="G159" s="34"/>
      <c r="H159" s="29"/>
      <c r="I159" s="29"/>
      <c r="J159" s="29"/>
      <c r="K159" s="29"/>
      <c r="M159" s="53"/>
    </row>
    <row r="160" spans="1:13" ht="15.75" thickBot="1" x14ac:dyDescent="0.3">
      <c r="A160">
        <v>4</v>
      </c>
      <c r="B160" s="444"/>
      <c r="C160" s="445"/>
      <c r="D160" s="73"/>
      <c r="E160" s="34" t="str">
        <f>IF($B160="","",VLOOKUP(B160,listes!I$5:Q$64,8,FALSE))</f>
        <v/>
      </c>
      <c r="F160" s="34" t="str">
        <f t="shared" si="2"/>
        <v/>
      </c>
      <c r="G160" s="29"/>
      <c r="J160" s="53">
        <v>0.85</v>
      </c>
      <c r="K160" s="53">
        <v>4.1500000000000004</v>
      </c>
    </row>
    <row r="161" spans="1:11" ht="15.75" thickBot="1" x14ac:dyDescent="0.3">
      <c r="A161">
        <v>5</v>
      </c>
      <c r="B161" s="444"/>
      <c r="C161" s="445"/>
      <c r="D161" s="73"/>
      <c r="E161" s="34" t="str">
        <f>IF($B161="","",VLOOKUP(B161,listes!I$5:Q$64,8,FALSE))</f>
        <v/>
      </c>
      <c r="F161" s="34" t="str">
        <f t="shared" si="2"/>
        <v/>
      </c>
      <c r="G161" s="29"/>
      <c r="J161" s="53">
        <v>1</v>
      </c>
      <c r="K161" s="53">
        <v>4.7</v>
      </c>
    </row>
    <row r="162" spans="1:11" ht="15.75" thickBot="1" x14ac:dyDescent="0.3">
      <c r="A162">
        <v>6</v>
      </c>
      <c r="B162" s="444"/>
      <c r="C162" s="445"/>
      <c r="D162" s="73"/>
      <c r="E162" s="34" t="str">
        <f>IF($B162="","",VLOOKUP(B162,listes!I$5:Q$64,8,FALSE))</f>
        <v/>
      </c>
      <c r="F162" s="34" t="str">
        <f t="shared" si="2"/>
        <v/>
      </c>
      <c r="G162" s="29"/>
      <c r="J162" s="53">
        <v>0.8</v>
      </c>
      <c r="K162" s="53">
        <v>3.8</v>
      </c>
    </row>
    <row r="163" spans="1:11" ht="15.75" thickBot="1" x14ac:dyDescent="0.3">
      <c r="A163">
        <v>7</v>
      </c>
      <c r="B163" s="444"/>
      <c r="C163" s="445"/>
      <c r="D163" s="73"/>
      <c r="E163" s="34" t="str">
        <f>IF($B163="","",VLOOKUP(B163,listes!I$5:Q$64,8,FALSE))</f>
        <v/>
      </c>
      <c r="F163" s="34" t="str">
        <f t="shared" si="2"/>
        <v/>
      </c>
    </row>
    <row r="164" spans="1:11" ht="15.75" thickBot="1" x14ac:dyDescent="0.3">
      <c r="A164">
        <v>8</v>
      </c>
      <c r="B164" s="444"/>
      <c r="C164" s="445"/>
      <c r="D164" s="73"/>
      <c r="E164" s="34" t="str">
        <f>IF($B164="","",VLOOKUP(B164,listes!I$5:Q$64,8,FALSE))</f>
        <v/>
      </c>
      <c r="F164" s="34" t="str">
        <f t="shared" si="2"/>
        <v/>
      </c>
    </row>
    <row r="165" spans="1:11" ht="15.75" thickBot="1" x14ac:dyDescent="0.3">
      <c r="A165">
        <v>9</v>
      </c>
      <c r="B165" s="444"/>
      <c r="C165" s="445"/>
      <c r="D165" s="73"/>
      <c r="E165" s="34" t="str">
        <f>IF($B165="","",VLOOKUP(B165,listes!I$5:Q$64,8,FALSE))</f>
        <v/>
      </c>
      <c r="F165" s="34" t="str">
        <f t="shared" si="2"/>
        <v/>
      </c>
    </row>
    <row r="166" spans="1:11" ht="15.75" thickBot="1" x14ac:dyDescent="0.3">
      <c r="A166">
        <v>10</v>
      </c>
      <c r="B166" s="444"/>
      <c r="C166" s="445"/>
      <c r="D166" s="17"/>
      <c r="E166" s="34" t="str">
        <f>IF($B166="","",VLOOKUP(B166,listes!I$5:Q$64,8,FALSE))</f>
        <v/>
      </c>
      <c r="F166" s="34" t="str">
        <f t="shared" si="2"/>
        <v/>
      </c>
    </row>
    <row r="168" spans="1:11" x14ac:dyDescent="0.25">
      <c r="A168" s="15"/>
      <c r="B168" s="15"/>
      <c r="C168" s="15"/>
      <c r="D168" s="15" t="s">
        <v>711</v>
      </c>
      <c r="E168" s="44">
        <f>SUM(D157:D166)</f>
        <v>0</v>
      </c>
    </row>
    <row r="169" spans="1:11" ht="15.75" thickBot="1" x14ac:dyDescent="0.3">
      <c r="A169" s="15"/>
      <c r="B169" s="15"/>
      <c r="C169" s="15"/>
      <c r="D169" s="15" t="s">
        <v>712</v>
      </c>
      <c r="E169" s="74">
        <f>SUM(F157:F166)</f>
        <v>0</v>
      </c>
    </row>
    <row r="170" spans="1:11" ht="15.75" thickBot="1" x14ac:dyDescent="0.3">
      <c r="A170" s="15"/>
      <c r="B170" s="15"/>
      <c r="C170" s="15"/>
      <c r="D170" s="15" t="s">
        <v>708</v>
      </c>
      <c r="E170" s="17"/>
    </row>
    <row r="171" spans="1:11" ht="15.75" thickBot="1" x14ac:dyDescent="0.3">
      <c r="A171" s="15"/>
      <c r="B171" s="15"/>
      <c r="C171" s="15"/>
      <c r="D171" s="15" t="s">
        <v>709</v>
      </c>
      <c r="E171" s="17"/>
    </row>
    <row r="172" spans="1:11" ht="15.75" thickBot="1" x14ac:dyDescent="0.3">
      <c r="A172" s="15"/>
      <c r="B172" s="15"/>
      <c r="C172" s="15"/>
      <c r="D172" s="15" t="s">
        <v>710</v>
      </c>
      <c r="E172" s="17"/>
    </row>
    <row r="173" spans="1:11" ht="15.75" thickBot="1" x14ac:dyDescent="0.3">
      <c r="A173" s="15"/>
      <c r="B173" s="15"/>
      <c r="C173" s="15"/>
      <c r="D173" s="15" t="s">
        <v>852</v>
      </c>
      <c r="E173" s="17">
        <f>E168-E169</f>
        <v>0</v>
      </c>
    </row>
    <row r="175" spans="1:11" x14ac:dyDescent="0.25">
      <c r="A175" s="47" t="s">
        <v>405</v>
      </c>
      <c r="B175" s="48"/>
      <c r="C175" s="48"/>
      <c r="D175" s="34"/>
      <c r="E175" s="34"/>
      <c r="F175" s="34"/>
      <c r="G175" s="29"/>
      <c r="H175" s="29"/>
      <c r="I175" s="29"/>
      <c r="J175" s="29"/>
    </row>
    <row r="178" spans="1:10" ht="45.75" thickBot="1" x14ac:dyDescent="0.3">
      <c r="B178" s="442" t="s">
        <v>706</v>
      </c>
      <c r="C178" s="443"/>
      <c r="D178" s="54" t="s">
        <v>317</v>
      </c>
      <c r="E178" s="55" t="s">
        <v>425</v>
      </c>
      <c r="F178" s="55" t="s">
        <v>426</v>
      </c>
      <c r="G178" s="55" t="s">
        <v>427</v>
      </c>
    </row>
    <row r="179" spans="1:10" ht="14.1" customHeight="1" thickBot="1" x14ac:dyDescent="0.3">
      <c r="A179">
        <v>1</v>
      </c>
      <c r="B179" s="444"/>
      <c r="C179" s="445"/>
      <c r="D179" s="77"/>
      <c r="E179" s="56">
        <v>335</v>
      </c>
      <c r="F179" s="56">
        <v>0</v>
      </c>
      <c r="G179" s="57">
        <v>0</v>
      </c>
    </row>
    <row r="180" spans="1:10" ht="14.1" customHeight="1" thickBot="1" x14ac:dyDescent="0.3">
      <c r="A180">
        <v>2</v>
      </c>
      <c r="B180" s="444"/>
      <c r="C180" s="445"/>
      <c r="D180" s="77"/>
      <c r="E180">
        <v>270</v>
      </c>
      <c r="F180">
        <v>0</v>
      </c>
      <c r="G180" s="58">
        <v>0</v>
      </c>
    </row>
    <row r="181" spans="1:10" ht="15.75" thickBot="1" x14ac:dyDescent="0.3">
      <c r="A181">
        <v>3</v>
      </c>
      <c r="B181" s="444"/>
      <c r="C181" s="445"/>
      <c r="D181" s="77"/>
      <c r="G181" s="58"/>
    </row>
    <row r="182" spans="1:10" ht="15.75" thickBot="1" x14ac:dyDescent="0.3">
      <c r="A182">
        <v>4</v>
      </c>
      <c r="B182" s="444"/>
      <c r="C182" s="445"/>
      <c r="D182" s="77"/>
      <c r="G182" s="58"/>
    </row>
    <row r="183" spans="1:10" ht="15.75" thickBot="1" x14ac:dyDescent="0.3">
      <c r="A183">
        <v>5</v>
      </c>
      <c r="B183" s="444"/>
      <c r="C183" s="445"/>
      <c r="D183" s="77"/>
      <c r="G183" s="58"/>
    </row>
    <row r="184" spans="1:10" ht="15.75" thickBot="1" x14ac:dyDescent="0.3">
      <c r="A184">
        <v>6</v>
      </c>
      <c r="B184" s="444"/>
      <c r="C184" s="445"/>
      <c r="D184" s="77"/>
      <c r="F184" s="76"/>
      <c r="G184" s="58"/>
    </row>
    <row r="185" spans="1:10" ht="15.75" thickBot="1" x14ac:dyDescent="0.3">
      <c r="A185">
        <v>7</v>
      </c>
      <c r="B185" s="444"/>
      <c r="C185" s="445"/>
      <c r="D185" s="77"/>
      <c r="G185" s="58"/>
    </row>
    <row r="186" spans="1:10" ht="15.75" thickBot="1" x14ac:dyDescent="0.3">
      <c r="A186">
        <v>8</v>
      </c>
      <c r="B186" s="444"/>
      <c r="C186" s="445"/>
      <c r="D186" s="78"/>
      <c r="E186" s="17"/>
      <c r="F186" s="17"/>
      <c r="G186" s="17"/>
    </row>
    <row r="187" spans="1:10" ht="15.75" thickBot="1" x14ac:dyDescent="0.3">
      <c r="A187">
        <v>9</v>
      </c>
      <c r="B187" s="444"/>
      <c r="C187" s="445"/>
      <c r="D187" s="79"/>
      <c r="E187" s="17"/>
      <c r="F187" s="17"/>
      <c r="G187" s="17"/>
    </row>
    <row r="188" spans="1:10" ht="15.75" thickBot="1" x14ac:dyDescent="0.3">
      <c r="A188">
        <v>10</v>
      </c>
      <c r="B188" s="444"/>
      <c r="C188" s="445"/>
      <c r="D188" s="17"/>
      <c r="E188" s="80"/>
      <c r="F188" s="80"/>
      <c r="G188" s="80"/>
    </row>
    <row r="191" spans="1:10" x14ac:dyDescent="0.25">
      <c r="A191" s="47" t="s">
        <v>429</v>
      </c>
      <c r="B191" s="48"/>
      <c r="C191" s="48"/>
      <c r="D191" s="34"/>
      <c r="E191" s="34"/>
      <c r="F191" s="34"/>
      <c r="G191" s="29"/>
      <c r="H191" s="29"/>
      <c r="I191" s="29"/>
      <c r="J191" s="29"/>
    </row>
    <row r="194" spans="1:6" ht="62.85" customHeight="1" thickBot="1" x14ac:dyDescent="0.3">
      <c r="B194" s="442" t="s">
        <v>706</v>
      </c>
      <c r="C194" s="452"/>
      <c r="D194" s="443"/>
      <c r="E194" s="54" t="s">
        <v>481</v>
      </c>
      <c r="F194" s="54" t="s">
        <v>482</v>
      </c>
    </row>
    <row r="195" spans="1:6" ht="14.1" customHeight="1" thickBot="1" x14ac:dyDescent="0.3">
      <c r="A195">
        <v>1</v>
      </c>
      <c r="B195" s="444"/>
      <c r="C195" s="453"/>
      <c r="D195" s="445"/>
      <c r="E195" s="77">
        <v>0</v>
      </c>
      <c r="F195" s="8">
        <v>0</v>
      </c>
    </row>
    <row r="196" spans="1:6" ht="14.1" customHeight="1" thickBot="1" x14ac:dyDescent="0.3">
      <c r="A196">
        <v>2</v>
      </c>
      <c r="B196" s="444"/>
      <c r="C196" s="453"/>
      <c r="D196" s="445"/>
      <c r="E196" s="77"/>
      <c r="F196" s="8"/>
    </row>
    <row r="197" spans="1:6" ht="15.75" thickBot="1" x14ac:dyDescent="0.3">
      <c r="A197">
        <v>3</v>
      </c>
      <c r="B197" s="444"/>
      <c r="C197" s="453"/>
      <c r="D197" s="445"/>
      <c r="E197" s="77"/>
      <c r="F197" s="8"/>
    </row>
    <row r="198" spans="1:6" ht="15.75" thickBot="1" x14ac:dyDescent="0.3">
      <c r="A198">
        <v>4</v>
      </c>
      <c r="B198" s="444"/>
      <c r="C198" s="453"/>
      <c r="D198" s="445"/>
      <c r="E198" s="81"/>
      <c r="F198" s="82"/>
    </row>
    <row r="199" spans="1:6" ht="15.75" thickBot="1" x14ac:dyDescent="0.3">
      <c r="A199">
        <v>5</v>
      </c>
      <c r="B199" s="444"/>
      <c r="C199" s="453"/>
      <c r="D199" s="445"/>
      <c r="E199" s="17"/>
      <c r="F199" s="17"/>
    </row>
    <row r="201" spans="1:6" ht="18.75" x14ac:dyDescent="0.3">
      <c r="A201" s="19" t="s">
        <v>494</v>
      </c>
    </row>
    <row r="203" spans="1:6" ht="16.5" thickBot="1" x14ac:dyDescent="0.3">
      <c r="B203" s="59" t="s">
        <v>495</v>
      </c>
    </row>
    <row r="204" spans="1:6" ht="62.85" customHeight="1" thickBot="1" x14ac:dyDescent="0.3">
      <c r="B204" s="450" t="s">
        <v>305</v>
      </c>
      <c r="C204" s="451"/>
      <c r="D204" s="60" t="s">
        <v>484</v>
      </c>
      <c r="E204" s="60" t="s">
        <v>580</v>
      </c>
      <c r="F204" s="61" t="s">
        <v>485</v>
      </c>
    </row>
    <row r="205" spans="1:6" ht="28.35" customHeight="1" thickBot="1" x14ac:dyDescent="0.3">
      <c r="B205" s="446" t="s">
        <v>486</v>
      </c>
      <c r="C205" s="447"/>
      <c r="D205" s="17">
        <v>0</v>
      </c>
      <c r="E205" s="83"/>
      <c r="F205" s="17"/>
    </row>
    <row r="206" spans="1:6" ht="34.9" customHeight="1" thickBot="1" x14ac:dyDescent="0.3">
      <c r="B206" s="448" t="s">
        <v>581</v>
      </c>
      <c r="C206" s="449"/>
      <c r="D206" s="17">
        <v>0</v>
      </c>
      <c r="E206" s="83"/>
      <c r="F206" s="17"/>
    </row>
    <row r="208" spans="1:6" ht="16.5" thickBot="1" x14ac:dyDescent="0.3">
      <c r="B208" s="59" t="s">
        <v>496</v>
      </c>
    </row>
    <row r="209" spans="1:5" ht="62.85" customHeight="1" thickBot="1" x14ac:dyDescent="0.3">
      <c r="B209" s="450" t="s">
        <v>305</v>
      </c>
      <c r="C209" s="451"/>
      <c r="D209" s="62" t="s">
        <v>484</v>
      </c>
      <c r="E209" s="63" t="s">
        <v>485</v>
      </c>
    </row>
    <row r="210" spans="1:5" ht="22.15" customHeight="1" thickBot="1" x14ac:dyDescent="0.3">
      <c r="B210" s="446" t="s">
        <v>488</v>
      </c>
      <c r="C210" s="447"/>
      <c r="D210" s="17">
        <v>0</v>
      </c>
      <c r="E210" s="17"/>
    </row>
    <row r="211" spans="1:5" ht="22.15" customHeight="1" thickBot="1" x14ac:dyDescent="0.3">
      <c r="B211" s="448" t="s">
        <v>487</v>
      </c>
      <c r="C211" s="449"/>
      <c r="D211" s="17">
        <v>0</v>
      </c>
      <c r="E211" s="17"/>
    </row>
    <row r="213" spans="1:5" ht="15.75" thickBot="1" x14ac:dyDescent="0.3"/>
    <row r="214" spans="1:5" ht="51.2" customHeight="1" thickBot="1" x14ac:dyDescent="0.3">
      <c r="B214" s="450" t="s">
        <v>305</v>
      </c>
      <c r="C214" s="451"/>
      <c r="D214" s="60" t="s">
        <v>484</v>
      </c>
      <c r="E214" s="61" t="s">
        <v>489</v>
      </c>
    </row>
    <row r="215" spans="1:5" ht="18.95" customHeight="1" thickBot="1" x14ac:dyDescent="0.3">
      <c r="B215" s="454" t="s">
        <v>380</v>
      </c>
      <c r="C215" s="455"/>
      <c r="D215" s="8">
        <v>0</v>
      </c>
      <c r="E215" s="8"/>
    </row>
    <row r="216" spans="1:5" ht="18.95" customHeight="1" thickBot="1" x14ac:dyDescent="0.3">
      <c r="B216" s="457" t="s">
        <v>490</v>
      </c>
      <c r="C216" s="443"/>
      <c r="D216" s="8">
        <v>0</v>
      </c>
      <c r="E216" s="8"/>
    </row>
    <row r="217" spans="1:5" ht="18.95" customHeight="1" thickBot="1" x14ac:dyDescent="0.3">
      <c r="B217" s="458" t="s">
        <v>491</v>
      </c>
      <c r="C217" s="459"/>
      <c r="D217" s="8">
        <v>0</v>
      </c>
      <c r="E217" s="8"/>
    </row>
    <row r="218" spans="1:5" ht="18.95" customHeight="1" thickBot="1" x14ac:dyDescent="0.3">
      <c r="B218" s="458" t="s">
        <v>313</v>
      </c>
      <c r="C218" s="459"/>
      <c r="D218" s="8">
        <v>0</v>
      </c>
      <c r="E218" s="8"/>
    </row>
    <row r="219" spans="1:5" ht="18.95" customHeight="1" thickBot="1" x14ac:dyDescent="0.3">
      <c r="B219" s="460" t="s">
        <v>492</v>
      </c>
      <c r="C219" s="461"/>
      <c r="D219" s="8">
        <v>0</v>
      </c>
      <c r="E219" s="8"/>
    </row>
    <row r="220" spans="1:5" ht="18.95" customHeight="1" thickBot="1" x14ac:dyDescent="0.3">
      <c r="B220" s="448" t="s">
        <v>493</v>
      </c>
      <c r="C220" s="456"/>
      <c r="D220" s="8">
        <v>0</v>
      </c>
      <c r="E220" s="8"/>
    </row>
    <row r="223" spans="1:5" ht="18.75" x14ac:dyDescent="0.3">
      <c r="A223" s="19" t="s">
        <v>497</v>
      </c>
    </row>
    <row r="225" spans="2:6" ht="15.75" x14ac:dyDescent="0.25">
      <c r="B225" s="59" t="s">
        <v>525</v>
      </c>
    </row>
    <row r="226" spans="2:6" ht="25.5" x14ac:dyDescent="0.25">
      <c r="B226" s="462" t="s">
        <v>513</v>
      </c>
      <c r="C226" s="64" t="s">
        <v>515</v>
      </c>
      <c r="D226" s="65" t="s">
        <v>499</v>
      </c>
      <c r="E226" s="64" t="s">
        <v>516</v>
      </c>
      <c r="F226" s="65" t="s">
        <v>514</v>
      </c>
    </row>
    <row r="227" spans="2:6" ht="15.75" thickBot="1" x14ac:dyDescent="0.3">
      <c r="B227" s="462"/>
      <c r="C227" s="66" t="s">
        <v>502</v>
      </c>
      <c r="D227" s="66" t="s">
        <v>501</v>
      </c>
      <c r="E227" s="66" t="s">
        <v>502</v>
      </c>
      <c r="F227" s="66" t="s">
        <v>501</v>
      </c>
    </row>
    <row r="228" spans="2:6" ht="15.75" thickBot="1" x14ac:dyDescent="0.3">
      <c r="B228" s="67" t="s">
        <v>503</v>
      </c>
      <c r="C228" s="106">
        <v>15</v>
      </c>
      <c r="D228" s="17"/>
      <c r="E228" s="107">
        <v>15</v>
      </c>
      <c r="F228" s="17"/>
    </row>
    <row r="229" spans="2:6" ht="15.75" thickBot="1" x14ac:dyDescent="0.3">
      <c r="B229" s="68" t="s">
        <v>504</v>
      </c>
      <c r="C229" s="106">
        <v>40</v>
      </c>
      <c r="D229" s="17"/>
      <c r="E229" s="107">
        <v>40</v>
      </c>
      <c r="F229" s="17"/>
    </row>
    <row r="230" spans="2:6" ht="15.75" thickBot="1" x14ac:dyDescent="0.3">
      <c r="B230" s="68" t="s">
        <v>505</v>
      </c>
      <c r="C230" s="106">
        <v>70</v>
      </c>
      <c r="D230" s="17"/>
      <c r="E230" s="107">
        <v>100</v>
      </c>
      <c r="F230" s="17"/>
    </row>
    <row r="231" spans="2:6" ht="15.75" thickBot="1" x14ac:dyDescent="0.3">
      <c r="B231" s="68" t="s">
        <v>517</v>
      </c>
      <c r="C231" s="105"/>
      <c r="D231" s="108"/>
      <c r="E231" s="106">
        <v>680</v>
      </c>
      <c r="F231" s="17"/>
    </row>
    <row r="232" spans="2:6" ht="15.75" thickBot="1" x14ac:dyDescent="0.3">
      <c r="B232" s="68" t="s">
        <v>506</v>
      </c>
      <c r="C232" s="106">
        <v>380</v>
      </c>
      <c r="D232" s="17"/>
      <c r="E232" s="107">
        <v>380</v>
      </c>
      <c r="F232" s="17"/>
    </row>
    <row r="233" spans="2:6" ht="15.75" thickBot="1" x14ac:dyDescent="0.3">
      <c r="B233" s="68" t="s">
        <v>507</v>
      </c>
      <c r="C233" s="106">
        <v>700</v>
      </c>
      <c r="D233" s="17"/>
      <c r="E233" s="107">
        <v>700</v>
      </c>
      <c r="F233" s="17"/>
    </row>
    <row r="234" spans="2:6" ht="15.75" thickBot="1" x14ac:dyDescent="0.3">
      <c r="B234" s="68" t="s">
        <v>518</v>
      </c>
      <c r="C234" s="105"/>
      <c r="D234" s="108"/>
      <c r="E234" s="106">
        <v>60</v>
      </c>
      <c r="F234" s="17"/>
    </row>
    <row r="235" spans="2:6" ht="15.75" thickBot="1" x14ac:dyDescent="0.3">
      <c r="B235" s="68" t="s">
        <v>519</v>
      </c>
      <c r="C235" s="105"/>
      <c r="D235" s="105"/>
      <c r="E235" s="106">
        <v>12</v>
      </c>
      <c r="F235" s="17"/>
    </row>
    <row r="236" spans="2:6" ht="15.75" thickBot="1" x14ac:dyDescent="0.3">
      <c r="B236" s="68" t="s">
        <v>508</v>
      </c>
      <c r="C236" s="106">
        <v>550</v>
      </c>
      <c r="D236" s="17"/>
      <c r="E236" s="107">
        <v>550</v>
      </c>
      <c r="F236" s="17"/>
    </row>
    <row r="237" spans="2:6" ht="15.75" thickBot="1" x14ac:dyDescent="0.3">
      <c r="B237" s="68" t="s">
        <v>520</v>
      </c>
      <c r="C237" s="105"/>
      <c r="D237" s="108"/>
      <c r="E237" s="106">
        <v>640</v>
      </c>
      <c r="F237" s="17"/>
    </row>
    <row r="238" spans="2:6" ht="15.75" thickBot="1" x14ac:dyDescent="0.3">
      <c r="B238" s="68" t="s">
        <v>521</v>
      </c>
      <c r="C238" s="105"/>
      <c r="D238" s="105"/>
      <c r="E238" s="106">
        <v>80</v>
      </c>
      <c r="F238" s="17"/>
    </row>
    <row r="239" spans="2:6" ht="15.75" thickBot="1" x14ac:dyDescent="0.3">
      <c r="B239" s="68" t="s">
        <v>509</v>
      </c>
      <c r="C239" s="106">
        <v>400</v>
      </c>
      <c r="D239" s="17"/>
      <c r="E239" s="107">
        <v>400</v>
      </c>
      <c r="F239" s="17"/>
    </row>
    <row r="240" spans="2:6" ht="15.75" thickBot="1" x14ac:dyDescent="0.3">
      <c r="B240" s="68" t="s">
        <v>522</v>
      </c>
      <c r="C240" s="105"/>
      <c r="D240" s="108"/>
      <c r="E240" s="106">
        <v>660</v>
      </c>
      <c r="F240" s="17"/>
    </row>
    <row r="241" spans="1:6" ht="15.75" thickBot="1" x14ac:dyDescent="0.3">
      <c r="B241" s="68" t="s">
        <v>523</v>
      </c>
      <c r="C241" s="105"/>
      <c r="D241" s="105"/>
      <c r="E241" s="106">
        <v>220</v>
      </c>
      <c r="F241" s="17"/>
    </row>
    <row r="242" spans="1:6" ht="15.75" thickBot="1" x14ac:dyDescent="0.3">
      <c r="B242" s="68" t="s">
        <v>510</v>
      </c>
      <c r="C242" s="106">
        <v>660</v>
      </c>
      <c r="D242" s="17"/>
      <c r="E242" s="107">
        <v>660</v>
      </c>
      <c r="F242" s="17"/>
    </row>
    <row r="243" spans="1:6" ht="15.75" thickBot="1" x14ac:dyDescent="0.3">
      <c r="B243" s="68" t="s">
        <v>511</v>
      </c>
      <c r="C243" s="106">
        <v>50</v>
      </c>
      <c r="D243" s="17"/>
      <c r="E243" s="107">
        <v>50</v>
      </c>
      <c r="F243" s="17"/>
    </row>
    <row r="244" spans="1:6" ht="15.75" thickBot="1" x14ac:dyDescent="0.3">
      <c r="B244" s="68" t="s">
        <v>713</v>
      </c>
      <c r="C244" s="105"/>
      <c r="D244" s="108"/>
      <c r="E244" s="106">
        <v>200</v>
      </c>
      <c r="F244" s="17"/>
    </row>
    <row r="246" spans="1:6" ht="15.75" x14ac:dyDescent="0.25">
      <c r="B246" s="59" t="s">
        <v>526</v>
      </c>
    </row>
    <row r="247" spans="1:6" ht="25.5" x14ac:dyDescent="0.25">
      <c r="B247" s="463" t="s">
        <v>513</v>
      </c>
      <c r="C247" s="69" t="s">
        <v>528</v>
      </c>
      <c r="D247" s="70" t="s">
        <v>529</v>
      </c>
    </row>
    <row r="248" spans="1:6" ht="15.75" thickBot="1" x14ac:dyDescent="0.3">
      <c r="B248" s="463"/>
      <c r="C248" s="71" t="s">
        <v>530</v>
      </c>
      <c r="D248" s="71" t="s">
        <v>531</v>
      </c>
    </row>
    <row r="249" spans="1:6" ht="15.75" thickBot="1" x14ac:dyDescent="0.3">
      <c r="B249" s="109" t="s">
        <v>532</v>
      </c>
      <c r="C249" s="110"/>
      <c r="D249" s="17"/>
    </row>
    <row r="250" spans="1:6" ht="15.75" thickBot="1" x14ac:dyDescent="0.3">
      <c r="B250" s="109" t="s">
        <v>505</v>
      </c>
      <c r="C250" s="110"/>
      <c r="D250" s="17"/>
    </row>
    <row r="251" spans="1:6" ht="15.75" thickBot="1" x14ac:dyDescent="0.3">
      <c r="B251" s="109" t="s">
        <v>518</v>
      </c>
      <c r="C251" s="110"/>
      <c r="D251" s="17"/>
    </row>
    <row r="252" spans="1:6" ht="15.75" thickBot="1" x14ac:dyDescent="0.3">
      <c r="B252" s="109" t="s">
        <v>512</v>
      </c>
      <c r="C252" s="110"/>
      <c r="D252" s="17"/>
    </row>
    <row r="255" spans="1:6" ht="18.75" x14ac:dyDescent="0.3">
      <c r="A255" s="19" t="s">
        <v>533</v>
      </c>
    </row>
    <row r="257" spans="1:13" ht="15.75" thickBot="1" x14ac:dyDescent="0.3"/>
    <row r="258" spans="1:13" ht="57.75" thickBot="1" x14ac:dyDescent="0.3">
      <c r="B258" s="464" t="s">
        <v>706</v>
      </c>
      <c r="C258" s="465"/>
      <c r="D258" s="72" t="s">
        <v>547</v>
      </c>
      <c r="H258" s="29"/>
      <c r="I258" s="29"/>
      <c r="J258" s="29"/>
      <c r="K258" s="29"/>
      <c r="M258" s="12"/>
    </row>
    <row r="259" spans="1:13" ht="14.1" customHeight="1" thickBot="1" x14ac:dyDescent="0.3">
      <c r="A259">
        <v>1</v>
      </c>
      <c r="B259" s="444" t="s">
        <v>535</v>
      </c>
      <c r="C259" s="445"/>
      <c r="D259" s="17">
        <v>0</v>
      </c>
      <c r="E259" s="34"/>
      <c r="F259" s="34"/>
      <c r="G259" s="34"/>
      <c r="H259" s="29"/>
      <c r="I259" s="29"/>
      <c r="J259" s="29"/>
      <c r="K259" s="29"/>
      <c r="M259" s="12"/>
    </row>
    <row r="260" spans="1:13" ht="14.1" customHeight="1" thickBot="1" x14ac:dyDescent="0.3">
      <c r="A260">
        <v>2</v>
      </c>
      <c r="B260" s="444"/>
      <c r="C260" s="445"/>
      <c r="D260" s="17"/>
      <c r="E260" s="34"/>
      <c r="F260" s="34"/>
      <c r="G260" s="34"/>
      <c r="H260" s="29"/>
      <c r="I260" s="29"/>
      <c r="J260" s="29"/>
      <c r="K260" s="29"/>
      <c r="M260" s="12"/>
    </row>
    <row r="261" spans="1:13" ht="14.65" customHeight="1" thickBot="1" x14ac:dyDescent="0.3">
      <c r="A261">
        <v>3</v>
      </c>
      <c r="B261" s="444"/>
      <c r="C261" s="445"/>
      <c r="D261" s="17"/>
      <c r="E261" s="34"/>
      <c r="F261" s="34"/>
      <c r="G261" s="34"/>
      <c r="H261" s="29"/>
      <c r="I261" s="29"/>
      <c r="J261" s="29"/>
      <c r="K261" s="29"/>
      <c r="M261" s="53"/>
    </row>
    <row r="262" spans="1:13" ht="15.75" thickBot="1" x14ac:dyDescent="0.3">
      <c r="A262">
        <v>4</v>
      </c>
      <c r="B262" s="444"/>
      <c r="C262" s="445"/>
      <c r="D262" s="17"/>
      <c r="E262" s="34"/>
      <c r="F262" s="34"/>
      <c r="G262" s="34"/>
      <c r="J262" s="53">
        <v>0.85</v>
      </c>
      <c r="K262" s="53">
        <v>4.1500000000000004</v>
      </c>
    </row>
    <row r="263" spans="1:13" ht="15.75" thickBot="1" x14ac:dyDescent="0.3">
      <c r="A263">
        <v>5</v>
      </c>
      <c r="B263" s="444"/>
      <c r="C263" s="445"/>
      <c r="D263" s="17"/>
      <c r="E263" s="29"/>
      <c r="F263" s="29"/>
      <c r="G263" s="29"/>
      <c r="J263" s="53">
        <v>1</v>
      </c>
      <c r="K263" s="53">
        <v>4.7</v>
      </c>
    </row>
  </sheetData>
  <mergeCells count="67">
    <mergeCell ref="B261:C261"/>
    <mergeCell ref="B262:C262"/>
    <mergeCell ref="B263:C263"/>
    <mergeCell ref="B226:B227"/>
    <mergeCell ref="B247:B248"/>
    <mergeCell ref="B258:C258"/>
    <mergeCell ref="B259:C259"/>
    <mergeCell ref="B260:C260"/>
    <mergeCell ref="B220:C220"/>
    <mergeCell ref="B216:C216"/>
    <mergeCell ref="B217:C217"/>
    <mergeCell ref="B218:C218"/>
    <mergeCell ref="B219:C219"/>
    <mergeCell ref="B209:C209"/>
    <mergeCell ref="B210:C210"/>
    <mergeCell ref="B211:C211"/>
    <mergeCell ref="B214:C214"/>
    <mergeCell ref="B215:C215"/>
    <mergeCell ref="B205:C205"/>
    <mergeCell ref="B206:C206"/>
    <mergeCell ref="B204:C204"/>
    <mergeCell ref="B194:D194"/>
    <mergeCell ref="B195:D195"/>
    <mergeCell ref="B196:D196"/>
    <mergeCell ref="B197:D197"/>
    <mergeCell ref="B198:D198"/>
    <mergeCell ref="B199:D199"/>
    <mergeCell ref="B188:C188"/>
    <mergeCell ref="B183:C183"/>
    <mergeCell ref="B184:C184"/>
    <mergeCell ref="B185:C185"/>
    <mergeCell ref="B186:C186"/>
    <mergeCell ref="B187:C187"/>
    <mergeCell ref="B178:C178"/>
    <mergeCell ref="B179:C179"/>
    <mergeCell ref="B180:C180"/>
    <mergeCell ref="B181:C181"/>
    <mergeCell ref="B182:C182"/>
    <mergeCell ref="B156:C156"/>
    <mergeCell ref="B164:C164"/>
    <mergeCell ref="B165:C165"/>
    <mergeCell ref="B166:C166"/>
    <mergeCell ref="B158:C158"/>
    <mergeCell ref="B159:C159"/>
    <mergeCell ref="B160:C160"/>
    <mergeCell ref="B161:C161"/>
    <mergeCell ref="B162:C162"/>
    <mergeCell ref="B163:C163"/>
    <mergeCell ref="B157:C157"/>
    <mergeCell ref="B7:D7"/>
    <mergeCell ref="B8:D8"/>
    <mergeCell ref="B9:D9"/>
    <mergeCell ref="G16:K16"/>
    <mergeCell ref="A70:B70"/>
    <mergeCell ref="E122:E123"/>
    <mergeCell ref="G122:I123"/>
    <mergeCell ref="A74:B74"/>
    <mergeCell ref="A75:B75"/>
    <mergeCell ref="A79:B79"/>
    <mergeCell ref="A83:B83"/>
    <mergeCell ref="A85:B85"/>
    <mergeCell ref="A81:B81"/>
    <mergeCell ref="A89:B89"/>
    <mergeCell ref="A87:B87"/>
    <mergeCell ref="A122:A123"/>
    <mergeCell ref="B122:B123"/>
    <mergeCell ref="C122:D122"/>
  </mergeCells>
  <dataValidations count="7">
    <dataValidation type="list" allowBlank="1" showInputMessage="1" showErrorMessage="1" sqref="D17" xr:uid="{F19C54F7-4896-4DDB-ABD1-D732504DA70E}">
      <formula1>prod_lait_vl</formula1>
    </dataValidation>
    <dataValidation type="list" allowBlank="1" showInputMessage="1" showErrorMessage="1" sqref="E20" xr:uid="{CC7C57D9-ACC0-4A85-8CD0-A2D3BBD6E9B7}">
      <formula1>prec_velage_gl</formula1>
    </dataValidation>
    <dataValidation type="list" allowBlank="1" showInputMessage="1" showErrorMessage="1" sqref="E23" xr:uid="{6ABDB292-9850-457A-A6DD-4085661B9369}">
      <formula1>prec_boeuf_lait</formula1>
    </dataValidation>
    <dataValidation type="list" allowBlank="1" showInputMessage="1" showErrorMessage="1" sqref="B157:C166" xr:uid="{F2D0E2E1-772B-4435-8BCE-52ECDBBF324F}">
      <formula1>aliments</formula1>
    </dataValidation>
    <dataValidation type="list" allowBlank="1" showInputMessage="1" showErrorMessage="1" sqref="B179:C185" xr:uid="{F19C19DA-49C3-4A1B-9C29-67D3BA8E9BED}">
      <formula1>engrais_mineraux</formula1>
    </dataValidation>
    <dataValidation type="list" allowBlank="1" showInputMessage="1" showErrorMessage="1" sqref="B195:C199" xr:uid="{78F17A5A-1518-4926-8AAC-E8D97F443698}">
      <formula1>engrais_organique</formula1>
    </dataValidation>
    <dataValidation type="list" allowBlank="1" showInputMessage="1" showErrorMessage="1" sqref="B259:C263" xr:uid="{5CEB09F3-123D-4BA0-80C9-4E59EF28DE51}">
      <formula1>culture_vente</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E502F-C67B-4280-B034-0A824DF5D4B4}">
  <dimension ref="A2:I135"/>
  <sheetViews>
    <sheetView workbookViewId="0">
      <selection activeCell="J106" sqref="J106"/>
    </sheetView>
  </sheetViews>
  <sheetFormatPr baseColWidth="10" defaultColWidth="11.140625" defaultRowHeight="15" x14ac:dyDescent="0.25"/>
  <cols>
    <col min="1" max="1" width="22.7109375" customWidth="1"/>
    <col min="2" max="2" width="16.7109375" customWidth="1"/>
    <col min="3" max="3" width="14.28515625" customWidth="1"/>
    <col min="4" max="4" width="10.28515625" customWidth="1"/>
    <col min="5" max="5" width="17.7109375" customWidth="1"/>
    <col min="6" max="6" width="16" customWidth="1"/>
    <col min="7" max="7" width="10.140625" customWidth="1"/>
    <col min="8" max="8" width="9.140625" customWidth="1"/>
    <col min="9" max="9" width="11.5703125" customWidth="1"/>
  </cols>
  <sheetData>
    <row r="2" spans="1:9" x14ac:dyDescent="0.25">
      <c r="A2" s="1"/>
    </row>
    <row r="3" spans="1:9" x14ac:dyDescent="0.25">
      <c r="A3" s="1"/>
    </row>
    <row r="4" spans="1:9" x14ac:dyDescent="0.25">
      <c r="A4" s="1"/>
    </row>
    <row r="5" spans="1:9" x14ac:dyDescent="0.25">
      <c r="A5" s="1"/>
    </row>
    <row r="6" spans="1:9" ht="15.75" thickBot="1" x14ac:dyDescent="0.3">
      <c r="A6" s="1"/>
    </row>
    <row r="7" spans="1:9" ht="15.75" thickBot="1" x14ac:dyDescent="0.3">
      <c r="A7" s="18" t="s">
        <v>0</v>
      </c>
      <c r="B7" s="466">
        <f>'FEUILLE SAISIE'!B7</f>
        <v>0</v>
      </c>
      <c r="C7" s="467"/>
      <c r="D7" s="468"/>
    </row>
    <row r="8" spans="1:9" ht="15.75" thickBot="1" x14ac:dyDescent="0.3">
      <c r="A8" s="18" t="s">
        <v>73</v>
      </c>
      <c r="B8" s="466">
        <f>'FEUILLE SAISIE'!B8</f>
        <v>0</v>
      </c>
      <c r="C8" s="467"/>
      <c r="D8" s="468"/>
    </row>
    <row r="9" spans="1:9" ht="15.75" thickBot="1" x14ac:dyDescent="0.3">
      <c r="A9" s="18" t="s">
        <v>74</v>
      </c>
      <c r="B9" s="466">
        <f>'FEUILLE SAISIE'!B9</f>
        <v>0</v>
      </c>
      <c r="C9" s="467"/>
      <c r="D9" s="468"/>
    </row>
    <row r="10" spans="1:9" ht="15.75" thickBot="1" x14ac:dyDescent="0.3">
      <c r="A10" s="18" t="s">
        <v>1</v>
      </c>
      <c r="B10" s="121">
        <f>'FEUILLE SAISIE'!B10</f>
        <v>0</v>
      </c>
    </row>
    <row r="13" spans="1:9" ht="18.75" x14ac:dyDescent="0.3">
      <c r="A13" s="19" t="s">
        <v>826</v>
      </c>
    </row>
    <row r="14" spans="1:9" ht="18.75" x14ac:dyDescent="0.3">
      <c r="A14" s="19"/>
    </row>
    <row r="15" spans="1:9" ht="18" customHeight="1" x14ac:dyDescent="0.25">
      <c r="A15" s="402" t="s">
        <v>843</v>
      </c>
      <c r="F15" s="18"/>
      <c r="G15" s="35"/>
      <c r="H15" s="35"/>
      <c r="I15" s="35"/>
    </row>
    <row r="16" spans="1:9" x14ac:dyDescent="0.25">
      <c r="C16" t="s">
        <v>817</v>
      </c>
      <c r="D16" t="s">
        <v>819</v>
      </c>
      <c r="E16" t="s">
        <v>818</v>
      </c>
      <c r="F16" t="s">
        <v>820</v>
      </c>
    </row>
    <row r="17" spans="1:9" x14ac:dyDescent="0.25">
      <c r="A17" t="s">
        <v>813</v>
      </c>
      <c r="C17" s="404">
        <v>0</v>
      </c>
      <c r="D17" s="404"/>
      <c r="E17" s="404">
        <v>0</v>
      </c>
      <c r="F17" s="399">
        <f>C17+D17-E17</f>
        <v>0</v>
      </c>
    </row>
    <row r="18" spans="1:9" x14ac:dyDescent="0.25">
      <c r="A18" t="s">
        <v>814</v>
      </c>
      <c r="C18" s="404">
        <v>0</v>
      </c>
      <c r="D18" s="404"/>
      <c r="E18" s="404">
        <v>0</v>
      </c>
      <c r="F18" s="399">
        <f>C18+D18-E18</f>
        <v>0</v>
      </c>
    </row>
    <row r="19" spans="1:9" x14ac:dyDescent="0.25">
      <c r="A19" t="s">
        <v>815</v>
      </c>
      <c r="C19" s="404">
        <v>0</v>
      </c>
      <c r="D19" s="404"/>
      <c r="E19" s="404">
        <v>0</v>
      </c>
      <c r="F19" s="399">
        <f>C19+D19-E19</f>
        <v>0</v>
      </c>
    </row>
    <row r="20" spans="1:9" x14ac:dyDescent="0.25">
      <c r="A20" t="s">
        <v>816</v>
      </c>
      <c r="C20" s="404">
        <v>0</v>
      </c>
      <c r="D20" s="404"/>
      <c r="E20" s="404">
        <v>0</v>
      </c>
      <c r="F20" s="399">
        <f>C20+D20-E20</f>
        <v>0</v>
      </c>
    </row>
    <row r="21" spans="1:9" ht="18.75" x14ac:dyDescent="0.3">
      <c r="A21" s="19"/>
      <c r="E21" s="401" t="s">
        <v>827</v>
      </c>
      <c r="F21" s="400">
        <f>SUM(F17:F20)</f>
        <v>0</v>
      </c>
    </row>
    <row r="22" spans="1:9" ht="18" customHeight="1" x14ac:dyDescent="0.25">
      <c r="A22" s="402" t="s">
        <v>844</v>
      </c>
      <c r="F22" s="18"/>
      <c r="G22" s="35"/>
      <c r="H22" s="35"/>
      <c r="I22" s="35"/>
    </row>
    <row r="23" spans="1:9" x14ac:dyDescent="0.25">
      <c r="C23" t="s">
        <v>817</v>
      </c>
      <c r="D23" t="s">
        <v>819</v>
      </c>
      <c r="E23" t="s">
        <v>818</v>
      </c>
      <c r="F23" t="s">
        <v>820</v>
      </c>
    </row>
    <row r="24" spans="1:9" x14ac:dyDescent="0.25">
      <c r="A24" t="s">
        <v>813</v>
      </c>
      <c r="C24" s="404"/>
      <c r="D24" s="404"/>
      <c r="E24" s="404"/>
      <c r="F24" s="399">
        <f>C24+D24-E24</f>
        <v>0</v>
      </c>
    </row>
    <row r="25" spans="1:9" x14ac:dyDescent="0.25">
      <c r="A25" t="s">
        <v>814</v>
      </c>
      <c r="C25" s="404"/>
      <c r="D25" s="404"/>
      <c r="E25" s="404"/>
      <c r="F25" s="399">
        <f>C25+D25-E25</f>
        <v>0</v>
      </c>
    </row>
    <row r="26" spans="1:9" x14ac:dyDescent="0.25">
      <c r="A26" t="s">
        <v>815</v>
      </c>
      <c r="C26" s="404"/>
      <c r="D26" s="404"/>
      <c r="E26" s="404"/>
      <c r="F26" s="399">
        <f>C26+D26-E26</f>
        <v>0</v>
      </c>
    </row>
    <row r="27" spans="1:9" x14ac:dyDescent="0.25">
      <c r="A27" t="s">
        <v>816</v>
      </c>
      <c r="C27" s="405"/>
      <c r="D27" s="404"/>
      <c r="E27" s="405"/>
      <c r="F27" s="399">
        <f>C27+D27-E27</f>
        <v>0</v>
      </c>
    </row>
    <row r="28" spans="1:9" ht="18.75" x14ac:dyDescent="0.3">
      <c r="A28" s="19"/>
      <c r="E28" s="401" t="s">
        <v>827</v>
      </c>
      <c r="F28" s="400">
        <f>SUM(F24:F27)</f>
        <v>0</v>
      </c>
    </row>
    <row r="29" spans="1:9" ht="18" customHeight="1" x14ac:dyDescent="0.25">
      <c r="A29" s="402" t="s">
        <v>845</v>
      </c>
      <c r="F29" s="18"/>
      <c r="G29" s="35"/>
      <c r="H29" s="35"/>
      <c r="I29" s="35"/>
    </row>
    <row r="30" spans="1:9" x14ac:dyDescent="0.25">
      <c r="C30" t="s">
        <v>817</v>
      </c>
      <c r="D30" t="s">
        <v>819</v>
      </c>
      <c r="E30" t="s">
        <v>818</v>
      </c>
      <c r="F30" t="s">
        <v>820</v>
      </c>
    </row>
    <row r="31" spans="1:9" x14ac:dyDescent="0.25">
      <c r="A31" t="s">
        <v>813</v>
      </c>
      <c r="C31" s="404"/>
      <c r="D31" s="404"/>
      <c r="E31" s="404"/>
      <c r="F31" s="399">
        <f>C31+D31-E31</f>
        <v>0</v>
      </c>
    </row>
    <row r="32" spans="1:9" x14ac:dyDescent="0.25">
      <c r="A32" t="s">
        <v>814</v>
      </c>
      <c r="C32" s="404"/>
      <c r="D32" s="404"/>
      <c r="E32" s="404"/>
      <c r="F32" s="399">
        <f>C32+D32-E32</f>
        <v>0</v>
      </c>
    </row>
    <row r="33" spans="1:9" x14ac:dyDescent="0.25">
      <c r="A33" t="s">
        <v>815</v>
      </c>
      <c r="C33" s="404"/>
      <c r="D33" s="404"/>
      <c r="E33" s="404"/>
      <c r="F33" s="399">
        <f>C33+D33-E33</f>
        <v>0</v>
      </c>
    </row>
    <row r="34" spans="1:9" x14ac:dyDescent="0.25">
      <c r="A34" t="s">
        <v>816</v>
      </c>
      <c r="C34" s="405"/>
      <c r="D34" s="404"/>
      <c r="E34" s="405"/>
      <c r="F34" s="399">
        <f>C34+D34-E34</f>
        <v>0</v>
      </c>
    </row>
    <row r="35" spans="1:9" x14ac:dyDescent="0.25">
      <c r="E35" s="401" t="s">
        <v>827</v>
      </c>
      <c r="F35" s="400">
        <f>SUM(F31:F34)</f>
        <v>0</v>
      </c>
    </row>
    <row r="36" spans="1:9" ht="18" customHeight="1" x14ac:dyDescent="0.25">
      <c r="A36" s="402" t="s">
        <v>846</v>
      </c>
      <c r="F36" s="18"/>
      <c r="G36" s="35"/>
      <c r="H36" s="35"/>
      <c r="I36" s="35"/>
    </row>
    <row r="37" spans="1:9" x14ac:dyDescent="0.25">
      <c r="C37" t="s">
        <v>817</v>
      </c>
      <c r="D37" t="s">
        <v>819</v>
      </c>
      <c r="E37" t="s">
        <v>818</v>
      </c>
      <c r="F37" t="s">
        <v>820</v>
      </c>
    </row>
    <row r="38" spans="1:9" x14ac:dyDescent="0.25">
      <c r="A38" t="s">
        <v>813</v>
      </c>
      <c r="C38" s="398"/>
      <c r="D38" s="398"/>
      <c r="E38" s="398"/>
      <c r="F38" s="399">
        <f>C38+D38-E38</f>
        <v>0</v>
      </c>
    </row>
    <row r="39" spans="1:9" x14ac:dyDescent="0.25">
      <c r="A39" t="s">
        <v>814</v>
      </c>
      <c r="C39" s="398"/>
      <c r="D39" s="398"/>
      <c r="E39" s="398"/>
      <c r="F39" s="399">
        <f>C39+D39-E39</f>
        <v>0</v>
      </c>
    </row>
    <row r="40" spans="1:9" x14ac:dyDescent="0.25">
      <c r="A40" t="s">
        <v>815</v>
      </c>
      <c r="C40" s="398"/>
      <c r="D40" s="398"/>
      <c r="E40" s="398"/>
      <c r="F40" s="399">
        <f>C40+D40-E40</f>
        <v>0</v>
      </c>
    </row>
    <row r="41" spans="1:9" x14ac:dyDescent="0.25">
      <c r="A41" t="s">
        <v>816</v>
      </c>
      <c r="C41" s="398"/>
      <c r="D41" s="398"/>
      <c r="E41" s="398"/>
      <c r="F41" s="399">
        <f>C41+D41-E41</f>
        <v>0</v>
      </c>
    </row>
    <row r="42" spans="1:9" x14ac:dyDescent="0.25">
      <c r="C42" s="398"/>
      <c r="D42" s="398"/>
      <c r="E42" s="401" t="s">
        <v>827</v>
      </c>
      <c r="F42" s="400">
        <f>SUM(F38:F41)</f>
        <v>0</v>
      </c>
    </row>
    <row r="43" spans="1:9" ht="18.75" x14ac:dyDescent="0.3">
      <c r="A43" s="19" t="s">
        <v>829</v>
      </c>
    </row>
    <row r="44" spans="1:9" ht="18.75" x14ac:dyDescent="0.3">
      <c r="A44" s="19"/>
    </row>
    <row r="45" spans="1:9" x14ac:dyDescent="0.25">
      <c r="A45" s="402" t="s">
        <v>843</v>
      </c>
      <c r="F45" s="18"/>
    </row>
    <row r="46" spans="1:9" x14ac:dyDescent="0.25">
      <c r="C46" t="s">
        <v>817</v>
      </c>
      <c r="D46" t="s">
        <v>819</v>
      </c>
      <c r="E46" t="s">
        <v>818</v>
      </c>
      <c r="F46" t="s">
        <v>820</v>
      </c>
    </row>
    <row r="47" spans="1:9" x14ac:dyDescent="0.25">
      <c r="A47" t="s">
        <v>822</v>
      </c>
      <c r="C47" s="404">
        <v>0</v>
      </c>
      <c r="D47" s="404"/>
      <c r="E47" s="404">
        <v>0</v>
      </c>
      <c r="F47" s="399">
        <f>C47+D47-E47</f>
        <v>0</v>
      </c>
    </row>
    <row r="48" spans="1:9" x14ac:dyDescent="0.25">
      <c r="A48" t="s">
        <v>821</v>
      </c>
      <c r="C48" s="404">
        <v>0</v>
      </c>
      <c r="D48" s="404"/>
      <c r="E48" s="404">
        <v>0</v>
      </c>
      <c r="F48" s="399">
        <f t="shared" ref="F48:F50" si="0">C48+D48-E48</f>
        <v>0</v>
      </c>
    </row>
    <row r="49" spans="1:6" x14ac:dyDescent="0.25">
      <c r="A49" t="s">
        <v>823</v>
      </c>
      <c r="C49" s="404">
        <v>0</v>
      </c>
      <c r="D49" s="404"/>
      <c r="E49" s="404">
        <v>0</v>
      </c>
      <c r="F49" s="399">
        <f t="shared" si="0"/>
        <v>0</v>
      </c>
    </row>
    <row r="50" spans="1:6" x14ac:dyDescent="0.25">
      <c r="A50" t="s">
        <v>825</v>
      </c>
      <c r="C50" s="404">
        <v>0</v>
      </c>
      <c r="D50" s="404"/>
      <c r="E50" s="404">
        <v>0</v>
      </c>
      <c r="F50" s="399">
        <f t="shared" si="0"/>
        <v>0</v>
      </c>
    </row>
    <row r="51" spans="1:6" x14ac:dyDescent="0.25">
      <c r="E51" s="401" t="s">
        <v>847</v>
      </c>
      <c r="F51" s="400">
        <f>SUM(F47:F50)</f>
        <v>0</v>
      </c>
    </row>
    <row r="52" spans="1:6" x14ac:dyDescent="0.25">
      <c r="A52" s="402" t="s">
        <v>844</v>
      </c>
      <c r="F52" s="18"/>
    </row>
    <row r="53" spans="1:6" x14ac:dyDescent="0.25">
      <c r="C53" t="s">
        <v>817</v>
      </c>
      <c r="D53" t="s">
        <v>819</v>
      </c>
      <c r="E53" t="s">
        <v>818</v>
      </c>
      <c r="F53" t="s">
        <v>820</v>
      </c>
    </row>
    <row r="54" spans="1:6" x14ac:dyDescent="0.25">
      <c r="A54" t="s">
        <v>822</v>
      </c>
      <c r="C54" s="404"/>
      <c r="D54" s="404"/>
      <c r="E54" s="404"/>
      <c r="F54" s="399">
        <f>C54+D54-E54</f>
        <v>0</v>
      </c>
    </row>
    <row r="55" spans="1:6" x14ac:dyDescent="0.25">
      <c r="A55" t="s">
        <v>821</v>
      </c>
      <c r="C55" s="404"/>
      <c r="D55" s="404"/>
      <c r="E55" s="404"/>
      <c r="F55" s="399">
        <f t="shared" ref="F55:F57" si="1">C55+D55-E55</f>
        <v>0</v>
      </c>
    </row>
    <row r="56" spans="1:6" x14ac:dyDescent="0.25">
      <c r="A56" t="s">
        <v>823</v>
      </c>
      <c r="C56" s="404"/>
      <c r="D56" s="404"/>
      <c r="E56" s="404"/>
      <c r="F56" s="399">
        <f t="shared" si="1"/>
        <v>0</v>
      </c>
    </row>
    <row r="57" spans="1:6" x14ac:dyDescent="0.25">
      <c r="A57" t="s">
        <v>825</v>
      </c>
      <c r="C57" s="405"/>
      <c r="D57" s="404"/>
      <c r="E57" s="405"/>
      <c r="F57" s="399">
        <f t="shared" si="1"/>
        <v>0</v>
      </c>
    </row>
    <row r="58" spans="1:6" x14ac:dyDescent="0.25">
      <c r="E58" s="401" t="s">
        <v>847</v>
      </c>
      <c r="F58" s="400">
        <f>SUM(F54:F57)</f>
        <v>0</v>
      </c>
    </row>
    <row r="59" spans="1:6" x14ac:dyDescent="0.25">
      <c r="E59" s="401"/>
      <c r="F59" s="400"/>
    </row>
    <row r="60" spans="1:6" x14ac:dyDescent="0.25">
      <c r="A60" s="402" t="s">
        <v>845</v>
      </c>
      <c r="F60" s="18"/>
    </row>
    <row r="61" spans="1:6" x14ac:dyDescent="0.25">
      <c r="C61" t="s">
        <v>817</v>
      </c>
      <c r="D61" t="s">
        <v>819</v>
      </c>
      <c r="E61" t="s">
        <v>818</v>
      </c>
      <c r="F61" t="s">
        <v>820</v>
      </c>
    </row>
    <row r="62" spans="1:6" x14ac:dyDescent="0.25">
      <c r="A62" t="s">
        <v>822</v>
      </c>
      <c r="C62" s="404"/>
      <c r="D62" s="404"/>
      <c r="E62" s="404"/>
      <c r="F62" s="399">
        <f>C62+D62-E62</f>
        <v>0</v>
      </c>
    </row>
    <row r="63" spans="1:6" x14ac:dyDescent="0.25">
      <c r="A63" t="s">
        <v>821</v>
      </c>
      <c r="C63" s="404"/>
      <c r="D63" s="404"/>
      <c r="E63" s="404"/>
      <c r="F63" s="399">
        <f t="shared" ref="F63:F65" si="2">C63+D63-E63</f>
        <v>0</v>
      </c>
    </row>
    <row r="64" spans="1:6" x14ac:dyDescent="0.25">
      <c r="A64" t="s">
        <v>823</v>
      </c>
      <c r="C64" s="404"/>
      <c r="D64" s="404"/>
      <c r="E64" s="404"/>
      <c r="F64" s="399">
        <f t="shared" si="2"/>
        <v>0</v>
      </c>
    </row>
    <row r="65" spans="1:6" x14ac:dyDescent="0.25">
      <c r="A65" t="s">
        <v>825</v>
      </c>
      <c r="C65" s="405"/>
      <c r="D65" s="404"/>
      <c r="E65" s="405"/>
      <c r="F65" s="399">
        <f t="shared" si="2"/>
        <v>0</v>
      </c>
    </row>
    <row r="66" spans="1:6" x14ac:dyDescent="0.25">
      <c r="E66" s="401" t="s">
        <v>847</v>
      </c>
      <c r="F66" s="400">
        <f>SUM(F62:F65)</f>
        <v>0</v>
      </c>
    </row>
    <row r="67" spans="1:6" x14ac:dyDescent="0.25">
      <c r="E67" s="401"/>
      <c r="F67" s="400"/>
    </row>
    <row r="68" spans="1:6" x14ac:dyDescent="0.25">
      <c r="A68" s="402" t="s">
        <v>846</v>
      </c>
      <c r="F68" s="18"/>
    </row>
    <row r="69" spans="1:6" x14ac:dyDescent="0.25">
      <c r="C69" t="s">
        <v>817</v>
      </c>
      <c r="D69" t="s">
        <v>819</v>
      </c>
      <c r="E69" t="s">
        <v>818</v>
      </c>
      <c r="F69" t="s">
        <v>820</v>
      </c>
    </row>
    <row r="70" spans="1:6" x14ac:dyDescent="0.25">
      <c r="A70" t="s">
        <v>822</v>
      </c>
      <c r="C70" s="404"/>
      <c r="D70" s="404"/>
      <c r="E70" s="404"/>
      <c r="F70" s="399">
        <f>C70+D70-E70</f>
        <v>0</v>
      </c>
    </row>
    <row r="71" spans="1:6" x14ac:dyDescent="0.25">
      <c r="A71" t="s">
        <v>821</v>
      </c>
      <c r="C71" s="404"/>
      <c r="D71" s="404"/>
      <c r="E71" s="404"/>
      <c r="F71" s="399">
        <f t="shared" ref="F71:F73" si="3">C71+D71-E71</f>
        <v>0</v>
      </c>
    </row>
    <row r="72" spans="1:6" x14ac:dyDescent="0.25">
      <c r="A72" t="s">
        <v>823</v>
      </c>
      <c r="C72" s="404"/>
      <c r="D72" s="404"/>
      <c r="E72" s="404"/>
      <c r="F72" s="399">
        <f t="shared" si="3"/>
        <v>0</v>
      </c>
    </row>
    <row r="73" spans="1:6" x14ac:dyDescent="0.25">
      <c r="A73" t="s">
        <v>825</v>
      </c>
      <c r="C73" s="405"/>
      <c r="D73" s="404"/>
      <c r="E73" s="405"/>
      <c r="F73" s="399">
        <f t="shared" si="3"/>
        <v>0</v>
      </c>
    </row>
    <row r="74" spans="1:6" x14ac:dyDescent="0.25">
      <c r="E74" s="401" t="s">
        <v>847</v>
      </c>
      <c r="F74" s="400">
        <f>SUM(F70:F73)</f>
        <v>0</v>
      </c>
    </row>
    <row r="76" spans="1:6" ht="18.75" x14ac:dyDescent="0.3">
      <c r="A76" s="19" t="s">
        <v>828</v>
      </c>
    </row>
    <row r="77" spans="1:6" x14ac:dyDescent="0.25">
      <c r="F77" s="18"/>
    </row>
    <row r="78" spans="1:6" x14ac:dyDescent="0.25">
      <c r="A78" s="402" t="s">
        <v>843</v>
      </c>
      <c r="F78" s="18"/>
    </row>
    <row r="79" spans="1:6" x14ac:dyDescent="0.25">
      <c r="C79" t="s">
        <v>817</v>
      </c>
      <c r="D79" t="s">
        <v>819</v>
      </c>
      <c r="E79" t="s">
        <v>818</v>
      </c>
      <c r="F79" t="s">
        <v>820</v>
      </c>
    </row>
    <row r="80" spans="1:6" x14ac:dyDescent="0.25">
      <c r="A80" t="s">
        <v>831</v>
      </c>
      <c r="C80" s="404"/>
      <c r="D80" s="404"/>
      <c r="E80" s="404"/>
      <c r="F80" s="399">
        <f>C80+D80-E80</f>
        <v>0</v>
      </c>
    </row>
    <row r="81" spans="1:6" x14ac:dyDescent="0.25">
      <c r="A81" t="s">
        <v>824</v>
      </c>
      <c r="C81" s="405"/>
      <c r="D81" s="404"/>
      <c r="E81" s="405"/>
      <c r="F81" s="399">
        <f t="shared" ref="F81" si="4">C81+D81-E81</f>
        <v>0</v>
      </c>
    </row>
    <row r="82" spans="1:6" x14ac:dyDescent="0.25">
      <c r="E82" s="401" t="s">
        <v>830</v>
      </c>
      <c r="F82" s="400">
        <f>SUM(F80:F81)</f>
        <v>0</v>
      </c>
    </row>
    <row r="83" spans="1:6" x14ac:dyDescent="0.25">
      <c r="E83" s="401"/>
      <c r="F83" s="400"/>
    </row>
    <row r="84" spans="1:6" x14ac:dyDescent="0.25">
      <c r="A84" s="402" t="s">
        <v>844</v>
      </c>
      <c r="F84" s="18"/>
    </row>
    <row r="85" spans="1:6" x14ac:dyDescent="0.25">
      <c r="C85" t="s">
        <v>817</v>
      </c>
      <c r="D85" t="s">
        <v>819</v>
      </c>
      <c r="E85" t="s">
        <v>818</v>
      </c>
      <c r="F85" t="s">
        <v>820</v>
      </c>
    </row>
    <row r="86" spans="1:6" x14ac:dyDescent="0.25">
      <c r="A86" t="s">
        <v>831</v>
      </c>
      <c r="C86" s="404"/>
      <c r="D86" s="404"/>
      <c r="E86" s="404"/>
      <c r="F86" s="399">
        <f>C86+D86-E86</f>
        <v>0</v>
      </c>
    </row>
    <row r="87" spans="1:6" x14ac:dyDescent="0.25">
      <c r="A87" t="s">
        <v>824</v>
      </c>
      <c r="C87" s="405"/>
      <c r="D87" s="404"/>
      <c r="E87" s="405"/>
      <c r="F87" s="399">
        <f t="shared" ref="F87" si="5">C87+D87-E87</f>
        <v>0</v>
      </c>
    </row>
    <row r="88" spans="1:6" x14ac:dyDescent="0.25">
      <c r="E88" s="401" t="s">
        <v>830</v>
      </c>
      <c r="F88" s="400">
        <f>SUM(F86:F87)</f>
        <v>0</v>
      </c>
    </row>
    <row r="89" spans="1:6" x14ac:dyDescent="0.25">
      <c r="E89" s="401"/>
      <c r="F89" s="400"/>
    </row>
    <row r="90" spans="1:6" x14ac:dyDescent="0.25">
      <c r="A90" s="402" t="s">
        <v>845</v>
      </c>
      <c r="F90" s="18"/>
    </row>
    <row r="91" spans="1:6" x14ac:dyDescent="0.25">
      <c r="C91" t="s">
        <v>817</v>
      </c>
      <c r="D91" t="s">
        <v>819</v>
      </c>
      <c r="E91" t="s">
        <v>818</v>
      </c>
      <c r="F91" t="s">
        <v>820</v>
      </c>
    </row>
    <row r="92" spans="1:6" x14ac:dyDescent="0.25">
      <c r="A92" t="s">
        <v>831</v>
      </c>
      <c r="C92" s="404"/>
      <c r="D92" s="404"/>
      <c r="E92" s="404"/>
      <c r="F92" s="399">
        <f>C92+D92-E92</f>
        <v>0</v>
      </c>
    </row>
    <row r="93" spans="1:6" x14ac:dyDescent="0.25">
      <c r="A93" t="s">
        <v>824</v>
      </c>
      <c r="C93" s="405"/>
      <c r="D93" s="404"/>
      <c r="E93" s="405"/>
      <c r="F93" s="399">
        <f t="shared" ref="F93" si="6">C93+D93-E93</f>
        <v>0</v>
      </c>
    </row>
    <row r="94" spans="1:6" x14ac:dyDescent="0.25">
      <c r="E94" s="401" t="s">
        <v>830</v>
      </c>
      <c r="F94" s="400">
        <f>SUM(F92:F93)</f>
        <v>0</v>
      </c>
    </row>
    <row r="95" spans="1:6" x14ac:dyDescent="0.25">
      <c r="E95" s="401"/>
      <c r="F95" s="400"/>
    </row>
    <row r="96" spans="1:6" x14ac:dyDescent="0.25">
      <c r="A96" s="402" t="s">
        <v>846</v>
      </c>
      <c r="F96" s="18"/>
    </row>
    <row r="97" spans="1:6" x14ac:dyDescent="0.25">
      <c r="C97" t="s">
        <v>817</v>
      </c>
      <c r="D97" t="s">
        <v>819</v>
      </c>
      <c r="E97" t="s">
        <v>818</v>
      </c>
      <c r="F97" t="s">
        <v>820</v>
      </c>
    </row>
    <row r="98" spans="1:6" x14ac:dyDescent="0.25">
      <c r="A98" t="s">
        <v>831</v>
      </c>
      <c r="C98" s="404"/>
      <c r="D98" s="404"/>
      <c r="E98" s="404"/>
      <c r="F98" s="399">
        <f>C98+D98-E98</f>
        <v>0</v>
      </c>
    </row>
    <row r="99" spans="1:6" x14ac:dyDescent="0.25">
      <c r="A99" t="s">
        <v>824</v>
      </c>
      <c r="C99" s="405"/>
      <c r="D99" s="404"/>
      <c r="E99" s="405"/>
      <c r="F99" s="399">
        <f t="shared" ref="F99" si="7">C99+D99-E99</f>
        <v>0</v>
      </c>
    </row>
    <row r="100" spans="1:6" x14ac:dyDescent="0.25">
      <c r="E100" s="401" t="s">
        <v>830</v>
      </c>
      <c r="F100" s="400">
        <f>SUM(F98:F99)</f>
        <v>0</v>
      </c>
    </row>
    <row r="101" spans="1:6" x14ac:dyDescent="0.25">
      <c r="E101" s="401"/>
      <c r="F101" s="400"/>
    </row>
    <row r="102" spans="1:6" ht="18.75" x14ac:dyDescent="0.3">
      <c r="A102" s="19" t="s">
        <v>832</v>
      </c>
      <c r="C102" t="s">
        <v>837</v>
      </c>
      <c r="D102" t="s">
        <v>332</v>
      </c>
    </row>
    <row r="103" spans="1:6" x14ac:dyDescent="0.25">
      <c r="A103" t="s">
        <v>833</v>
      </c>
      <c r="C103" s="406"/>
      <c r="D103">
        <f>C103/1000</f>
        <v>0</v>
      </c>
    </row>
    <row r="104" spans="1:6" x14ac:dyDescent="0.25">
      <c r="A104" t="s">
        <v>836</v>
      </c>
      <c r="C104" s="406"/>
      <c r="D104">
        <f>C104/100</f>
        <v>0</v>
      </c>
    </row>
    <row r="105" spans="1:6" x14ac:dyDescent="0.25">
      <c r="A105" t="s">
        <v>835</v>
      </c>
      <c r="C105" s="406">
        <v>0</v>
      </c>
      <c r="D105">
        <f>C105/100</f>
        <v>0</v>
      </c>
    </row>
    <row r="106" spans="1:6" x14ac:dyDescent="0.25">
      <c r="A106" t="s">
        <v>834</v>
      </c>
      <c r="C106" s="406">
        <v>0</v>
      </c>
      <c r="D106">
        <f t="shared" ref="D106" si="8">C106/1000</f>
        <v>0</v>
      </c>
    </row>
    <row r="109" spans="1:6" ht="18.75" x14ac:dyDescent="0.3">
      <c r="A109" s="19" t="s">
        <v>838</v>
      </c>
    </row>
    <row r="110" spans="1:6" ht="19.5" thickBot="1" x14ac:dyDescent="0.35">
      <c r="A110" s="19"/>
    </row>
    <row r="111" spans="1:6" ht="18.75" x14ac:dyDescent="0.3">
      <c r="A111" s="407"/>
      <c r="B111" s="56"/>
      <c r="C111" s="56"/>
      <c r="D111" s="56"/>
      <c r="E111" s="57"/>
    </row>
    <row r="112" spans="1:6" x14ac:dyDescent="0.25">
      <c r="A112" s="5" t="s">
        <v>839</v>
      </c>
      <c r="B112" s="403" t="e">
        <f>($F$21+$F$51+$F$82)/$D$103</f>
        <v>#DIV/0!</v>
      </c>
      <c r="C112" t="s">
        <v>848</v>
      </c>
      <c r="E112" s="58"/>
    </row>
    <row r="113" spans="1:5" x14ac:dyDescent="0.25">
      <c r="A113" s="5"/>
      <c r="B113" s="403"/>
      <c r="E113" s="58"/>
    </row>
    <row r="114" spans="1:5" x14ac:dyDescent="0.25">
      <c r="A114" s="5"/>
      <c r="B114" s="403"/>
      <c r="E114" s="58"/>
    </row>
    <row r="115" spans="1:5" ht="15.75" thickBot="1" x14ac:dyDescent="0.3">
      <c r="A115" s="408"/>
      <c r="B115" s="409"/>
      <c r="C115" s="316"/>
      <c r="D115" s="316"/>
      <c r="E115" s="317"/>
    </row>
    <row r="116" spans="1:5" ht="15.75" thickBot="1" x14ac:dyDescent="0.3">
      <c r="A116" s="1"/>
      <c r="B116" s="403"/>
    </row>
    <row r="117" spans="1:5" x14ac:dyDescent="0.25">
      <c r="A117" s="26" t="s">
        <v>840</v>
      </c>
      <c r="B117" s="410" t="e">
        <f>($F$28+$F$58+$F$88)/$D$104</f>
        <v>#DIV/0!</v>
      </c>
      <c r="C117" s="56" t="s">
        <v>849</v>
      </c>
      <c r="D117" s="56"/>
      <c r="E117" s="57"/>
    </row>
    <row r="118" spans="1:5" x14ac:dyDescent="0.25">
      <c r="A118" s="5"/>
      <c r="B118" s="403"/>
      <c r="E118" s="58"/>
    </row>
    <row r="119" spans="1:5" x14ac:dyDescent="0.25">
      <c r="A119" s="5"/>
      <c r="B119" s="403"/>
      <c r="E119" s="58"/>
    </row>
    <row r="120" spans="1:5" x14ac:dyDescent="0.25">
      <c r="A120" s="5"/>
      <c r="B120" s="403"/>
      <c r="E120" s="58"/>
    </row>
    <row r="121" spans="1:5" x14ac:dyDescent="0.25">
      <c r="A121" s="5"/>
      <c r="B121" s="403"/>
      <c r="E121" s="58"/>
    </row>
    <row r="122" spans="1:5" x14ac:dyDescent="0.25">
      <c r="A122" s="5"/>
      <c r="B122" s="403"/>
      <c r="E122" s="58"/>
    </row>
    <row r="123" spans="1:5" x14ac:dyDescent="0.25">
      <c r="A123" s="5"/>
      <c r="B123" s="403"/>
      <c r="E123" s="58"/>
    </row>
    <row r="124" spans="1:5" x14ac:dyDescent="0.25">
      <c r="A124" s="5"/>
      <c r="B124" s="403"/>
      <c r="E124" s="58"/>
    </row>
    <row r="125" spans="1:5" x14ac:dyDescent="0.25">
      <c r="A125" s="5"/>
      <c r="B125" s="403"/>
      <c r="E125" s="58"/>
    </row>
    <row r="126" spans="1:5" ht="15.75" thickBot="1" x14ac:dyDescent="0.3">
      <c r="A126" s="408"/>
      <c r="B126" s="409"/>
      <c r="C126" s="316"/>
      <c r="D126" s="316"/>
      <c r="E126" s="317"/>
    </row>
    <row r="127" spans="1:5" ht="15.75" thickBot="1" x14ac:dyDescent="0.3">
      <c r="A127" s="1"/>
      <c r="B127" s="403"/>
    </row>
    <row r="128" spans="1:5" x14ac:dyDescent="0.25">
      <c r="A128" s="26" t="s">
        <v>841</v>
      </c>
      <c r="B128" s="410" t="e">
        <f>($F$35+$F$66+$F$94)/$D$105</f>
        <v>#DIV/0!</v>
      </c>
      <c r="C128" s="56" t="s">
        <v>850</v>
      </c>
      <c r="D128" s="56"/>
      <c r="E128" s="57"/>
    </row>
    <row r="129" spans="1:6" x14ac:dyDescent="0.25">
      <c r="A129" s="5"/>
      <c r="B129" s="403"/>
      <c r="E129" s="58"/>
    </row>
    <row r="130" spans="1:6" x14ac:dyDescent="0.25">
      <c r="A130" s="5"/>
      <c r="B130" s="403"/>
      <c r="E130" s="58"/>
    </row>
    <row r="131" spans="1:6" x14ac:dyDescent="0.25">
      <c r="A131" s="5"/>
      <c r="B131" s="403"/>
      <c r="E131" s="58"/>
    </row>
    <row r="132" spans="1:6" ht="15.75" thickBot="1" x14ac:dyDescent="0.3">
      <c r="A132" s="408"/>
      <c r="B132" s="409"/>
      <c r="C132" s="316"/>
      <c r="D132" s="316"/>
      <c r="E132" s="317"/>
    </row>
    <row r="133" spans="1:6" x14ac:dyDescent="0.25">
      <c r="A133" s="26" t="s">
        <v>842</v>
      </c>
      <c r="B133" s="410" t="e">
        <f>($F$42+$F$74+$F$100)/$D$106</f>
        <v>#DIV/0!</v>
      </c>
      <c r="C133" s="56" t="s">
        <v>848</v>
      </c>
      <c r="D133" s="56"/>
      <c r="E133" s="57"/>
    </row>
    <row r="134" spans="1:6" x14ac:dyDescent="0.25">
      <c r="A134" s="314"/>
      <c r="E134" s="58"/>
      <c r="F134" t="s">
        <v>851</v>
      </c>
    </row>
    <row r="135" spans="1:6" ht="15.75" thickBot="1" x14ac:dyDescent="0.3">
      <c r="A135" s="315"/>
      <c r="B135" s="316"/>
      <c r="C135" s="316"/>
      <c r="D135" s="316"/>
      <c r="E135" s="317"/>
    </row>
  </sheetData>
  <mergeCells count="3">
    <mergeCell ref="B7:D7"/>
    <mergeCell ref="B8:D8"/>
    <mergeCell ref="B9:D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3B83C-94E4-4730-A9A3-A8C38E963B0E}">
  <dimension ref="A6:N163"/>
  <sheetViews>
    <sheetView topLeftCell="A200" workbookViewId="0">
      <selection activeCell="L104" sqref="L104"/>
    </sheetView>
  </sheetViews>
  <sheetFormatPr baseColWidth="10" defaultColWidth="11.140625" defaultRowHeight="15" x14ac:dyDescent="0.25"/>
  <cols>
    <col min="1" max="1" width="21.5703125" customWidth="1"/>
    <col min="2" max="2" width="23.5703125" customWidth="1"/>
    <col min="6" max="6" width="12.7109375" customWidth="1"/>
    <col min="13" max="13" width="24.28515625" customWidth="1"/>
  </cols>
  <sheetData>
    <row r="6" spans="1:14" ht="15.75" thickBot="1" x14ac:dyDescent="0.3"/>
    <row r="7" spans="1:14" ht="15.75" thickBot="1" x14ac:dyDescent="0.3">
      <c r="A7" s="18" t="s">
        <v>0</v>
      </c>
      <c r="B7" s="466">
        <f>'FEUILLE SAISIE'!B7</f>
        <v>0</v>
      </c>
      <c r="C7" s="467"/>
      <c r="D7" s="468"/>
    </row>
    <row r="8" spans="1:14" ht="15.75" thickBot="1" x14ac:dyDescent="0.3">
      <c r="A8" s="18" t="s">
        <v>73</v>
      </c>
      <c r="B8" s="466">
        <f>'FEUILLE SAISIE'!B8</f>
        <v>0</v>
      </c>
      <c r="C8" s="467"/>
      <c r="D8" s="468"/>
    </row>
    <row r="9" spans="1:14" ht="15.75" thickBot="1" x14ac:dyDescent="0.3">
      <c r="A9" s="18" t="s">
        <v>74</v>
      </c>
      <c r="B9" s="466">
        <f>'FEUILLE SAISIE'!B9</f>
        <v>0</v>
      </c>
      <c r="C9" s="467"/>
      <c r="D9" s="468"/>
    </row>
    <row r="10" spans="1:14" ht="15.75" thickBot="1" x14ac:dyDescent="0.3">
      <c r="A10" s="18" t="s">
        <v>1</v>
      </c>
      <c r="B10" s="121">
        <f>'FEUILLE SAISIE'!B10</f>
        <v>0</v>
      </c>
    </row>
    <row r="11" spans="1:14" x14ac:dyDescent="0.25">
      <c r="A11" s="18"/>
      <c r="B11" s="111"/>
    </row>
    <row r="12" spans="1:14" ht="18.75" x14ac:dyDescent="0.3">
      <c r="A12" s="19" t="s">
        <v>75</v>
      </c>
      <c r="B12" s="34"/>
    </row>
    <row r="13" spans="1:14" ht="15.75" thickBot="1" x14ac:dyDescent="0.3">
      <c r="A13" s="18"/>
      <c r="B13" s="34"/>
    </row>
    <row r="14" spans="1:14" ht="15.75" thickBot="1" x14ac:dyDescent="0.3">
      <c r="A14" s="20"/>
      <c r="B14" s="21" t="s">
        <v>7</v>
      </c>
      <c r="C14" s="22"/>
      <c r="D14" s="23"/>
      <c r="E14" s="112"/>
      <c r="F14" s="113"/>
      <c r="G14" s="3"/>
      <c r="H14" s="3"/>
      <c r="I14" s="3"/>
      <c r="J14" s="3"/>
      <c r="M14" s="42" t="s">
        <v>759</v>
      </c>
    </row>
    <row r="15" spans="1:14" ht="45.75" thickBot="1" x14ac:dyDescent="0.3">
      <c r="A15" s="20"/>
      <c r="B15" s="115" t="s">
        <v>2</v>
      </c>
      <c r="C15" s="25" t="s">
        <v>3</v>
      </c>
      <c r="D15" s="116" t="s">
        <v>108</v>
      </c>
      <c r="E15" s="116" t="s">
        <v>110</v>
      </c>
      <c r="F15" s="116" t="s">
        <v>112</v>
      </c>
      <c r="G15" s="116" t="s">
        <v>109</v>
      </c>
      <c r="H15" s="116" t="s">
        <v>111</v>
      </c>
      <c r="I15" s="117"/>
      <c r="J15" s="117"/>
      <c r="K15" s="117"/>
      <c r="M15" s="114" t="s">
        <v>5</v>
      </c>
      <c r="N15" s="114" t="s">
        <v>6</v>
      </c>
    </row>
    <row r="16" spans="1:14" ht="15.75" thickBot="1" x14ac:dyDescent="0.3">
      <c r="B16" s="10" t="str">
        <f>'FEUILLE SAISIE'!B17&amp;" "&amp;'FEUILLE SAISIE'!D17</f>
        <v xml:space="preserve">Vaches laitières </v>
      </c>
      <c r="C16" s="122">
        <f>'FEUILLE SAISIE'!C17</f>
        <v>0</v>
      </c>
      <c r="D16" s="123" t="e">
        <f>VLOOKUP(B16,$L$16:$N$64,2,FALSE)</f>
        <v>#N/A</v>
      </c>
      <c r="E16" s="124" t="e">
        <f>C16*D16</f>
        <v>#N/A</v>
      </c>
      <c r="F16" s="124" t="e">
        <f>VLOOKUP(B16,$L$16:$N$64,3,FALSE)</f>
        <v>#N/A</v>
      </c>
      <c r="G16" s="9">
        <f>'FEUILLE SAISIE'!F17</f>
        <v>0</v>
      </c>
      <c r="H16" s="4" t="e">
        <f>C16*F16*(G16/12)</f>
        <v>#N/A</v>
      </c>
      <c r="I16" s="29"/>
      <c r="J16" s="29"/>
      <c r="K16" s="29"/>
      <c r="L16" s="18" t="s">
        <v>100</v>
      </c>
      <c r="M16" s="133">
        <v>1.05</v>
      </c>
      <c r="N16" s="133">
        <v>5</v>
      </c>
    </row>
    <row r="17" spans="1:14" ht="15.75" thickBot="1" x14ac:dyDescent="0.3">
      <c r="A17" s="5"/>
      <c r="B17" s="6" t="s">
        <v>8</v>
      </c>
      <c r="C17" s="122">
        <f>'FEUILLE SAISIE'!C18</f>
        <v>0</v>
      </c>
      <c r="D17" s="123">
        <f t="shared" ref="D17:D25" si="0">VLOOKUP(B17,$L$16:$N$64,2,FALSE)</f>
        <v>1</v>
      </c>
      <c r="E17" s="124">
        <f t="shared" ref="E17:E25" si="1">C17*D17</f>
        <v>0</v>
      </c>
      <c r="F17" s="124">
        <f t="shared" ref="F17:F25" si="2">VLOOKUP(B17,$L$16:$N$64,3,FALSE)</f>
        <v>4.7</v>
      </c>
      <c r="G17" s="9">
        <f>'FEUILLE SAISIE'!F18</f>
        <v>0</v>
      </c>
      <c r="H17" s="4">
        <f>C17*F17*(G17/12)</f>
        <v>0</v>
      </c>
      <c r="I17" s="29"/>
      <c r="J17" s="29"/>
      <c r="K17" s="29"/>
      <c r="L17" s="18" t="s">
        <v>101</v>
      </c>
      <c r="M17" s="133">
        <v>1.1299999999999999</v>
      </c>
      <c r="N17" s="133">
        <v>5.35</v>
      </c>
    </row>
    <row r="18" spans="1:14" ht="15.75" thickBot="1" x14ac:dyDescent="0.3">
      <c r="A18" s="5"/>
      <c r="B18" s="6" t="s">
        <v>79</v>
      </c>
      <c r="C18" s="122">
        <f>'FEUILLE SAISIE'!C19</f>
        <v>0</v>
      </c>
      <c r="D18" s="123">
        <f t="shared" si="0"/>
        <v>0.4</v>
      </c>
      <c r="E18" s="124">
        <f t="shared" si="1"/>
        <v>0</v>
      </c>
      <c r="F18" s="124">
        <f t="shared" si="2"/>
        <v>1.9</v>
      </c>
      <c r="G18" s="9">
        <f>'FEUILLE SAISIE'!F19</f>
        <v>0</v>
      </c>
      <c r="H18" s="4">
        <f t="shared" ref="H18:H24" si="3">C18*F18*(G18/12)</f>
        <v>0</v>
      </c>
      <c r="I18" s="29"/>
      <c r="J18" s="29"/>
      <c r="K18" s="29"/>
      <c r="L18" s="18" t="s">
        <v>102</v>
      </c>
      <c r="M18" s="133">
        <v>1.2</v>
      </c>
      <c r="N18" s="133">
        <v>5.7</v>
      </c>
    </row>
    <row r="19" spans="1:14" ht="15.75" thickBot="1" x14ac:dyDescent="0.3">
      <c r="A19" s="5"/>
      <c r="B19" s="6" t="str">
        <f>'FEUILLE SAISIE'!B20&amp;" "&amp;'FEUILLE SAISIE'!E20</f>
        <v>Génisses laitières de 1 à 2 ans tardif (30-36 mois)</v>
      </c>
      <c r="C19" s="122">
        <f>'FEUILLE SAISIE'!C20</f>
        <v>0</v>
      </c>
      <c r="D19" s="123">
        <f t="shared" si="0"/>
        <v>0.6</v>
      </c>
      <c r="E19" s="124">
        <f t="shared" si="1"/>
        <v>0</v>
      </c>
      <c r="F19" s="124">
        <f t="shared" si="2"/>
        <v>2.8</v>
      </c>
      <c r="G19" s="9">
        <f>'FEUILLE SAISIE'!F20</f>
        <v>0</v>
      </c>
      <c r="H19" s="4">
        <f t="shared" si="3"/>
        <v>0</v>
      </c>
      <c r="I19" s="29"/>
      <c r="J19" s="29"/>
      <c r="K19" s="29"/>
      <c r="L19" s="18" t="s">
        <v>103</v>
      </c>
      <c r="M19" s="133">
        <v>1.26</v>
      </c>
      <c r="N19" s="133">
        <v>6</v>
      </c>
    </row>
    <row r="20" spans="1:14" ht="15.75" thickBot="1" x14ac:dyDescent="0.3">
      <c r="A20" s="5"/>
      <c r="B20" s="6" t="s">
        <v>83</v>
      </c>
      <c r="C20" s="122">
        <f>'FEUILLE SAISIE'!C21</f>
        <v>0</v>
      </c>
      <c r="D20" s="123">
        <f t="shared" si="0"/>
        <v>0.8</v>
      </c>
      <c r="E20" s="124">
        <f t="shared" si="1"/>
        <v>0</v>
      </c>
      <c r="F20" s="124">
        <f t="shared" si="2"/>
        <v>3.8</v>
      </c>
      <c r="G20" s="9">
        <f>'FEUILLE SAISIE'!F21</f>
        <v>0</v>
      </c>
      <c r="H20" s="4">
        <f t="shared" si="3"/>
        <v>0</v>
      </c>
      <c r="I20" s="29"/>
      <c r="J20" s="29"/>
      <c r="K20" s="29"/>
      <c r="L20" s="18" t="s">
        <v>716</v>
      </c>
      <c r="M20" s="133">
        <v>1.35</v>
      </c>
      <c r="N20" s="133">
        <v>6.4</v>
      </c>
    </row>
    <row r="21" spans="1:14" ht="15.75" thickBot="1" x14ac:dyDescent="0.3">
      <c r="A21" s="5"/>
      <c r="B21" s="6" t="s">
        <v>84</v>
      </c>
      <c r="C21" s="122">
        <f>'FEUILLE SAISIE'!C22</f>
        <v>0</v>
      </c>
      <c r="D21" s="123">
        <f t="shared" si="0"/>
        <v>0.4</v>
      </c>
      <c r="E21" s="124">
        <f t="shared" si="1"/>
        <v>0</v>
      </c>
      <c r="F21" s="124">
        <f t="shared" si="2"/>
        <v>1.9</v>
      </c>
      <c r="G21" s="9">
        <f>'FEUILLE SAISIE'!F22</f>
        <v>0</v>
      </c>
      <c r="H21" s="4">
        <f t="shared" si="3"/>
        <v>0</v>
      </c>
      <c r="I21" s="29"/>
      <c r="J21" s="29"/>
      <c r="K21" s="29"/>
      <c r="L21" s="18" t="s">
        <v>8</v>
      </c>
      <c r="M21" s="133">
        <v>1</v>
      </c>
      <c r="N21" s="133">
        <v>4.7</v>
      </c>
    </row>
    <row r="22" spans="1:14" ht="15.75" thickBot="1" x14ac:dyDescent="0.3">
      <c r="A22" s="5"/>
      <c r="B22" s="6" t="str">
        <f>'FEUILLE SAISIE'!B23&amp;" "&amp;'FEUILLE SAISIE'!E23</f>
        <v>Bœufs laitier 1-2 ans  précoce (24 mois)</v>
      </c>
      <c r="C22" s="122">
        <f>'FEUILLE SAISIE'!C23</f>
        <v>0</v>
      </c>
      <c r="D22" s="123">
        <f t="shared" si="0"/>
        <v>0.6</v>
      </c>
      <c r="E22" s="124">
        <f t="shared" si="1"/>
        <v>0</v>
      </c>
      <c r="F22" s="124">
        <f t="shared" si="2"/>
        <v>2.8</v>
      </c>
      <c r="G22" s="9">
        <f>'FEUILLE SAISIE'!F23</f>
        <v>0</v>
      </c>
      <c r="H22" s="4">
        <f t="shared" si="3"/>
        <v>0</v>
      </c>
      <c r="I22" s="29"/>
      <c r="J22" s="29"/>
      <c r="K22" s="29"/>
      <c r="L22" s="18" t="s">
        <v>79</v>
      </c>
      <c r="M22" s="133">
        <v>0.4</v>
      </c>
      <c r="N22" s="133">
        <v>1.9</v>
      </c>
    </row>
    <row r="23" spans="1:14" ht="15.75" thickBot="1" x14ac:dyDescent="0.3">
      <c r="A23" s="5"/>
      <c r="B23" s="6" t="s">
        <v>91</v>
      </c>
      <c r="C23" s="122">
        <f>'FEUILLE SAISIE'!C24</f>
        <v>0</v>
      </c>
      <c r="D23" s="123">
        <f t="shared" si="0"/>
        <v>0.8</v>
      </c>
      <c r="E23" s="124">
        <f t="shared" si="1"/>
        <v>0</v>
      </c>
      <c r="F23" s="124">
        <f t="shared" si="2"/>
        <v>3.8</v>
      </c>
      <c r="G23" s="9">
        <f>'FEUILLE SAISIE'!F24</f>
        <v>0</v>
      </c>
      <c r="H23" s="4">
        <f t="shared" si="3"/>
        <v>0</v>
      </c>
      <c r="I23" s="29"/>
      <c r="J23" s="29"/>
      <c r="K23" s="29"/>
      <c r="L23" s="18" t="s">
        <v>104</v>
      </c>
      <c r="M23" s="133">
        <v>0.6</v>
      </c>
      <c r="N23" s="133">
        <v>2.8</v>
      </c>
    </row>
    <row r="24" spans="1:14" ht="15.75" thickBot="1" x14ac:dyDescent="0.3">
      <c r="A24" s="5"/>
      <c r="B24" s="6" t="s">
        <v>94</v>
      </c>
      <c r="C24" s="122">
        <f>'FEUILLE SAISIE'!C25</f>
        <v>0</v>
      </c>
      <c r="D24" s="123">
        <f t="shared" si="0"/>
        <v>0.4</v>
      </c>
      <c r="E24" s="124">
        <f t="shared" si="1"/>
        <v>0</v>
      </c>
      <c r="F24" s="124">
        <f t="shared" si="2"/>
        <v>1.9</v>
      </c>
      <c r="G24" s="9">
        <f>'FEUILLE SAISIE'!F25</f>
        <v>0</v>
      </c>
      <c r="H24" s="4">
        <f t="shared" si="3"/>
        <v>0</v>
      </c>
      <c r="I24" s="29"/>
      <c r="J24" s="29"/>
      <c r="K24" s="29"/>
      <c r="L24" s="18" t="s">
        <v>106</v>
      </c>
      <c r="M24" s="133">
        <v>0.75</v>
      </c>
      <c r="N24" s="133">
        <v>3.55</v>
      </c>
    </row>
    <row r="25" spans="1:14" ht="15.75" thickBot="1" x14ac:dyDescent="0.3">
      <c r="A25" s="5"/>
      <c r="B25" s="6" t="s">
        <v>93</v>
      </c>
      <c r="C25" s="122">
        <f>'FEUILLE SAISIE'!C26</f>
        <v>0</v>
      </c>
      <c r="D25" s="123">
        <f t="shared" si="0"/>
        <v>0.6</v>
      </c>
      <c r="E25" s="124">
        <f t="shared" si="1"/>
        <v>0</v>
      </c>
      <c r="F25" s="124">
        <f t="shared" si="2"/>
        <v>2.8</v>
      </c>
      <c r="G25" s="9">
        <f>'FEUILLE SAISIE'!F26</f>
        <v>0</v>
      </c>
      <c r="H25" s="4">
        <f>C25*F25*(G25/12)</f>
        <v>0</v>
      </c>
      <c r="I25" s="29"/>
      <c r="J25" s="29"/>
      <c r="K25" s="29"/>
      <c r="L25" s="18" t="s">
        <v>83</v>
      </c>
      <c r="M25" s="133">
        <v>0.8</v>
      </c>
      <c r="N25" s="133">
        <v>3.8</v>
      </c>
    </row>
    <row r="26" spans="1:14" ht="15.75" thickBot="1" x14ac:dyDescent="0.3">
      <c r="A26" s="125"/>
      <c r="B26" s="126" t="s">
        <v>683</v>
      </c>
      <c r="C26" s="127"/>
      <c r="D26" s="128"/>
      <c r="E26" s="129"/>
      <c r="F26" s="129"/>
      <c r="G26" s="130"/>
      <c r="H26" s="131"/>
      <c r="L26" s="18" t="s">
        <v>84</v>
      </c>
      <c r="M26" s="133">
        <v>0.4</v>
      </c>
      <c r="N26" s="133">
        <v>1.9</v>
      </c>
    </row>
    <row r="27" spans="1:14" ht="15.75" thickBot="1" x14ac:dyDescent="0.3">
      <c r="A27" s="1"/>
      <c r="B27" s="6" t="s">
        <v>741</v>
      </c>
      <c r="C27" s="122">
        <f>'FEUILLE SAISIE'!C28</f>
        <v>0</v>
      </c>
      <c r="D27" s="123">
        <f t="shared" ref="D27" si="4">VLOOKUP(B27,$L$16:$N$64,2,FALSE)</f>
        <v>0.85</v>
      </c>
      <c r="E27" s="124">
        <f t="shared" ref="E27" si="5">C27*D27</f>
        <v>0</v>
      </c>
      <c r="F27" s="124">
        <f t="shared" ref="F27" si="6">VLOOKUP(B27,$L$16:$N$64,3,FALSE)</f>
        <v>4.1500000000000004</v>
      </c>
      <c r="G27" s="9">
        <f>'FEUILLE SAISIE'!F28</f>
        <v>0</v>
      </c>
      <c r="H27" s="4">
        <f>C27*F27*(G27/12)</f>
        <v>0</v>
      </c>
      <c r="L27" s="18" t="s">
        <v>105</v>
      </c>
      <c r="M27" s="133">
        <v>0.6</v>
      </c>
      <c r="N27" s="133">
        <v>2.8</v>
      </c>
    </row>
    <row r="28" spans="1:14" ht="15.75" thickBot="1" x14ac:dyDescent="0.3">
      <c r="A28" s="1"/>
      <c r="B28" s="6" t="s">
        <v>714</v>
      </c>
      <c r="C28" s="122">
        <f>'FEUILLE SAISIE'!C29</f>
        <v>0</v>
      </c>
      <c r="D28" s="123">
        <f t="shared" ref="D28:D36" si="7">VLOOKUP(B28,$L$16:$N$64,2,FALSE)</f>
        <v>1</v>
      </c>
      <c r="E28" s="124">
        <f t="shared" ref="E28:E36" si="8">C28*D28</f>
        <v>0</v>
      </c>
      <c r="F28" s="124">
        <f t="shared" ref="F28:F36" si="9">VLOOKUP(B28,$L$16:$N$64,3,FALSE)</f>
        <v>4.7</v>
      </c>
      <c r="G28" s="9">
        <f>'FEUILLE SAISIE'!F29</f>
        <v>0</v>
      </c>
      <c r="H28" s="4">
        <f>C28*F28*(G28/12)</f>
        <v>0</v>
      </c>
      <c r="L28" s="18" t="s">
        <v>107</v>
      </c>
      <c r="M28" s="133">
        <v>0.75</v>
      </c>
      <c r="N28" s="133">
        <v>3.55</v>
      </c>
    </row>
    <row r="29" spans="1:14" ht="15.75" thickBot="1" x14ac:dyDescent="0.3">
      <c r="A29" s="1"/>
      <c r="B29" s="6" t="s">
        <v>742</v>
      </c>
      <c r="C29" s="122">
        <f>'FEUILLE SAISIE'!C30</f>
        <v>0</v>
      </c>
      <c r="D29" s="123">
        <f t="shared" si="7"/>
        <v>0.8</v>
      </c>
      <c r="E29" s="124">
        <f t="shared" si="8"/>
        <v>0</v>
      </c>
      <c r="F29" s="124">
        <f t="shared" si="9"/>
        <v>3.8</v>
      </c>
      <c r="G29" s="9">
        <f>'FEUILLE SAISIE'!F30</f>
        <v>0</v>
      </c>
      <c r="H29" s="4">
        <f t="shared" ref="H29:H35" si="10">C29*F29*(G29/12)</f>
        <v>0</v>
      </c>
      <c r="L29" s="18" t="s">
        <v>91</v>
      </c>
      <c r="M29" s="133">
        <v>0.8</v>
      </c>
      <c r="N29" s="133">
        <v>3.8</v>
      </c>
    </row>
    <row r="30" spans="1:14" ht="15.75" thickBot="1" x14ac:dyDescent="0.3">
      <c r="A30" s="1"/>
      <c r="B30" s="6" t="s">
        <v>743</v>
      </c>
      <c r="C30" s="122">
        <f>'FEUILLE SAISIE'!C31</f>
        <v>0</v>
      </c>
      <c r="D30" s="123">
        <f t="shared" si="7"/>
        <v>0.6</v>
      </c>
      <c r="E30" s="124">
        <f t="shared" si="8"/>
        <v>0</v>
      </c>
      <c r="F30" s="124">
        <f t="shared" si="9"/>
        <v>2.8</v>
      </c>
      <c r="G30" s="9">
        <f>'FEUILLE SAISIE'!F31</f>
        <v>0</v>
      </c>
      <c r="H30" s="4">
        <f t="shared" si="10"/>
        <v>0</v>
      </c>
      <c r="L30" s="18" t="s">
        <v>94</v>
      </c>
      <c r="M30" s="133">
        <v>0.4</v>
      </c>
      <c r="N30" s="133">
        <v>1.9</v>
      </c>
    </row>
    <row r="31" spans="1:14" ht="15.75" thickBot="1" x14ac:dyDescent="0.3">
      <c r="A31" s="1"/>
      <c r="B31" s="6" t="s">
        <v>744</v>
      </c>
      <c r="C31" s="122">
        <f>'FEUILLE SAISIE'!C32</f>
        <v>0</v>
      </c>
      <c r="D31" s="123">
        <f t="shared" si="7"/>
        <v>0.4</v>
      </c>
      <c r="E31" s="124">
        <f t="shared" ref="E31:E35" si="11">C31*D31</f>
        <v>0</v>
      </c>
      <c r="F31" s="124">
        <f t="shared" ref="F31:F35" si="12">VLOOKUP(B31,$L$16:$N$64,3,FALSE)</f>
        <v>1.9</v>
      </c>
      <c r="G31" s="9">
        <f>'FEUILLE SAISIE'!F32</f>
        <v>0</v>
      </c>
      <c r="H31" s="4">
        <f t="shared" si="10"/>
        <v>0</v>
      </c>
      <c r="L31" s="18" t="s">
        <v>93</v>
      </c>
      <c r="M31" s="133">
        <v>0.6</v>
      </c>
      <c r="N31" s="133">
        <v>2.8</v>
      </c>
    </row>
    <row r="32" spans="1:14" ht="15.75" thickBot="1" x14ac:dyDescent="0.3">
      <c r="A32" s="1"/>
      <c r="B32" s="6" t="s">
        <v>745</v>
      </c>
      <c r="C32" s="122">
        <f>'FEUILLE SAISIE'!C33</f>
        <v>0</v>
      </c>
      <c r="D32" s="123">
        <f t="shared" si="7"/>
        <v>0.45</v>
      </c>
      <c r="E32" s="124">
        <f t="shared" si="11"/>
        <v>0</v>
      </c>
      <c r="F32" s="124">
        <f t="shared" si="12"/>
        <v>2.1</v>
      </c>
      <c r="G32" s="9">
        <f>'FEUILLE SAISIE'!F33</f>
        <v>0</v>
      </c>
      <c r="H32" s="4">
        <f t="shared" si="10"/>
        <v>0</v>
      </c>
      <c r="L32" s="18" t="s">
        <v>741</v>
      </c>
      <c r="M32" s="133">
        <v>0.85</v>
      </c>
      <c r="N32" s="133">
        <v>4.1500000000000004</v>
      </c>
    </row>
    <row r="33" spans="1:14" ht="15.75" thickBot="1" x14ac:dyDescent="0.3">
      <c r="A33" s="1"/>
      <c r="B33" s="6" t="s">
        <v>746</v>
      </c>
      <c r="C33" s="122">
        <f>'FEUILLE SAISIE'!C34</f>
        <v>0</v>
      </c>
      <c r="D33" s="123">
        <f t="shared" si="7"/>
        <v>0.65</v>
      </c>
      <c r="E33" s="124">
        <f t="shared" si="11"/>
        <v>0</v>
      </c>
      <c r="F33" s="124">
        <f t="shared" si="12"/>
        <v>3.1</v>
      </c>
      <c r="G33" s="9">
        <f>'FEUILLE SAISIE'!F34</f>
        <v>0</v>
      </c>
      <c r="H33" s="4">
        <f t="shared" si="10"/>
        <v>0</v>
      </c>
      <c r="L33" s="18" t="s">
        <v>714</v>
      </c>
      <c r="M33" s="133">
        <v>1</v>
      </c>
      <c r="N33" s="133">
        <v>4.7</v>
      </c>
    </row>
    <row r="34" spans="1:14" ht="15.75" thickBot="1" x14ac:dyDescent="0.3">
      <c r="A34" s="1"/>
      <c r="B34" s="6" t="s">
        <v>747</v>
      </c>
      <c r="C34" s="122">
        <f>'FEUILLE SAISIE'!C35</f>
        <v>0</v>
      </c>
      <c r="D34" s="123">
        <f t="shared" si="7"/>
        <v>0.85</v>
      </c>
      <c r="E34" s="124">
        <f t="shared" si="11"/>
        <v>0</v>
      </c>
      <c r="F34" s="124">
        <f t="shared" si="12"/>
        <v>4</v>
      </c>
      <c r="G34" s="9">
        <f>'FEUILLE SAISIE'!F35</f>
        <v>0</v>
      </c>
      <c r="H34" s="4">
        <f t="shared" si="10"/>
        <v>0</v>
      </c>
      <c r="L34" s="18" t="s">
        <v>742</v>
      </c>
      <c r="M34" s="133">
        <v>0.8</v>
      </c>
      <c r="N34" s="133">
        <v>3.8</v>
      </c>
    </row>
    <row r="35" spans="1:14" ht="15.75" thickBot="1" x14ac:dyDescent="0.3">
      <c r="A35" s="1"/>
      <c r="B35" s="6" t="s">
        <v>748</v>
      </c>
      <c r="C35" s="122">
        <f>'FEUILLE SAISIE'!C36</f>
        <v>0</v>
      </c>
      <c r="D35" s="123">
        <f t="shared" si="7"/>
        <v>1</v>
      </c>
      <c r="E35" s="124">
        <f t="shared" si="11"/>
        <v>0</v>
      </c>
      <c r="F35" s="124">
        <f t="shared" si="12"/>
        <v>4.7</v>
      </c>
      <c r="G35" s="9">
        <f>'FEUILLE SAISIE'!F36</f>
        <v>0</v>
      </c>
      <c r="H35" s="4">
        <f t="shared" si="10"/>
        <v>0</v>
      </c>
      <c r="L35" s="18" t="s">
        <v>743</v>
      </c>
      <c r="M35" s="133">
        <v>0.6</v>
      </c>
      <c r="N35" s="133">
        <v>2.8</v>
      </c>
    </row>
    <row r="36" spans="1:14" ht="15.75" thickBot="1" x14ac:dyDescent="0.3">
      <c r="A36" s="1"/>
      <c r="B36" s="6" t="s">
        <v>749</v>
      </c>
      <c r="C36" s="122">
        <f>'FEUILLE SAISIE'!C37</f>
        <v>0</v>
      </c>
      <c r="D36" s="123">
        <f t="shared" si="7"/>
        <v>0.6</v>
      </c>
      <c r="E36" s="124">
        <f t="shared" si="8"/>
        <v>0</v>
      </c>
      <c r="F36" s="124">
        <f t="shared" si="9"/>
        <v>2.9</v>
      </c>
      <c r="G36" s="9">
        <f>'FEUILLE SAISIE'!F37</f>
        <v>0</v>
      </c>
      <c r="H36" s="4">
        <f>C36*F36*(G36/12)</f>
        <v>0</v>
      </c>
      <c r="L36" s="18" t="s">
        <v>744</v>
      </c>
      <c r="M36" s="133">
        <v>0.4</v>
      </c>
      <c r="N36" s="133">
        <v>1.9</v>
      </c>
    </row>
    <row r="37" spans="1:14" ht="15.75" thickBot="1" x14ac:dyDescent="0.3">
      <c r="A37" s="125"/>
      <c r="B37" s="126" t="s">
        <v>684</v>
      </c>
      <c r="C37" s="127"/>
      <c r="D37" s="128"/>
      <c r="E37" s="129"/>
      <c r="F37" s="129"/>
      <c r="G37" s="130"/>
      <c r="H37" s="131"/>
      <c r="L37" s="18" t="s">
        <v>745</v>
      </c>
      <c r="M37" s="133">
        <v>0.45</v>
      </c>
      <c r="N37" s="133">
        <v>2.1</v>
      </c>
    </row>
    <row r="38" spans="1:14" ht="15.75" thickBot="1" x14ac:dyDescent="0.3">
      <c r="A38" s="1"/>
      <c r="B38" s="6" t="s">
        <v>750</v>
      </c>
      <c r="C38" s="122">
        <f>'FEUILLE SAISIE'!C39</f>
        <v>0</v>
      </c>
      <c r="D38" s="123">
        <f t="shared" ref="D38:D47" si="13">VLOOKUP(B38,$L$16:$N$64,2,FALSE)</f>
        <v>0.9</v>
      </c>
      <c r="E38" s="124">
        <f t="shared" ref="E38:E47" si="14">C38*D38</f>
        <v>0</v>
      </c>
      <c r="F38" s="124">
        <f t="shared" ref="F38:F47" si="15">VLOOKUP(B38,$L$16:$N$64,3,FALSE)</f>
        <v>4.3</v>
      </c>
      <c r="G38" s="9">
        <f>'FEUILLE SAISIE'!F39</f>
        <v>0</v>
      </c>
      <c r="H38" s="4">
        <f>C38*F38*(G38/12)</f>
        <v>0</v>
      </c>
      <c r="L38" s="18" t="s">
        <v>746</v>
      </c>
      <c r="M38" s="133">
        <v>0.65</v>
      </c>
      <c r="N38" s="133">
        <v>3.1</v>
      </c>
    </row>
    <row r="39" spans="1:14" ht="15.75" thickBot="1" x14ac:dyDescent="0.3">
      <c r="A39" s="1"/>
      <c r="B39" s="6" t="s">
        <v>715</v>
      </c>
      <c r="C39" s="122">
        <f>'FEUILLE SAISIE'!C40</f>
        <v>0</v>
      </c>
      <c r="D39" s="123">
        <f t="shared" si="13"/>
        <v>0.9</v>
      </c>
      <c r="E39" s="124">
        <f t="shared" si="14"/>
        <v>0</v>
      </c>
      <c r="F39" s="124">
        <f t="shared" si="15"/>
        <v>4.3</v>
      </c>
      <c r="G39" s="9">
        <f>'FEUILLE SAISIE'!F40</f>
        <v>0</v>
      </c>
      <c r="H39" s="4">
        <f>C39*F39*(G39/12)</f>
        <v>0</v>
      </c>
      <c r="L39" s="18" t="s">
        <v>747</v>
      </c>
      <c r="M39" s="133">
        <v>0.85</v>
      </c>
      <c r="N39" s="133">
        <v>4</v>
      </c>
    </row>
    <row r="40" spans="1:14" ht="15.75" thickBot="1" x14ac:dyDescent="0.3">
      <c r="A40" s="1"/>
      <c r="B40" s="6" t="s">
        <v>751</v>
      </c>
      <c r="C40" s="122">
        <f>'FEUILLE SAISIE'!C41</f>
        <v>0</v>
      </c>
      <c r="D40" s="123">
        <f t="shared" si="13"/>
        <v>0.75</v>
      </c>
      <c r="E40" s="124">
        <f t="shared" si="14"/>
        <v>0</v>
      </c>
      <c r="F40" s="124">
        <f t="shared" si="15"/>
        <v>3.6</v>
      </c>
      <c r="G40" s="9">
        <f>'FEUILLE SAISIE'!F41</f>
        <v>0</v>
      </c>
      <c r="H40" s="4">
        <f t="shared" ref="H40:H46" si="16">C40*F40*(G40/12)</f>
        <v>0</v>
      </c>
      <c r="L40" s="18" t="s">
        <v>748</v>
      </c>
      <c r="M40" s="133">
        <v>1</v>
      </c>
      <c r="N40" s="133">
        <v>4.7</v>
      </c>
    </row>
    <row r="41" spans="1:14" ht="15.75" thickBot="1" x14ac:dyDescent="0.3">
      <c r="A41" s="1"/>
      <c r="B41" s="6" t="s">
        <v>752</v>
      </c>
      <c r="C41" s="122">
        <f>'FEUILLE SAISIE'!C42</f>
        <v>0</v>
      </c>
      <c r="D41" s="123">
        <f t="shared" si="13"/>
        <v>0.55000000000000004</v>
      </c>
      <c r="E41" s="124">
        <f t="shared" si="14"/>
        <v>0</v>
      </c>
      <c r="F41" s="124">
        <f t="shared" si="15"/>
        <v>2.6</v>
      </c>
      <c r="G41" s="9">
        <f>'FEUILLE SAISIE'!F42</f>
        <v>0</v>
      </c>
      <c r="H41" s="4">
        <f t="shared" si="16"/>
        <v>0</v>
      </c>
      <c r="L41" s="18" t="s">
        <v>749</v>
      </c>
      <c r="M41" s="133">
        <v>0.6</v>
      </c>
      <c r="N41" s="133">
        <v>2.9</v>
      </c>
    </row>
    <row r="42" spans="1:14" ht="15.75" thickBot="1" x14ac:dyDescent="0.3">
      <c r="A42" s="1"/>
      <c r="B42" s="6" t="s">
        <v>753</v>
      </c>
      <c r="C42" s="122">
        <f>'FEUILLE SAISIE'!C43</f>
        <v>0</v>
      </c>
      <c r="D42" s="123">
        <f t="shared" ref="D42:D46" si="17">VLOOKUP(B42,$L$16:$N$64,2,FALSE)</f>
        <v>0.35</v>
      </c>
      <c r="E42" s="124">
        <f t="shared" ref="E42:E46" si="18">C42*D42</f>
        <v>0</v>
      </c>
      <c r="F42" s="124">
        <f t="shared" ref="F42:F46" si="19">VLOOKUP(B42,$L$16:$N$64,3,FALSE)</f>
        <v>1.7</v>
      </c>
      <c r="G42" s="9">
        <f>'FEUILLE SAISIE'!F43</f>
        <v>0</v>
      </c>
      <c r="H42" s="4">
        <f t="shared" si="16"/>
        <v>0</v>
      </c>
      <c r="L42" s="18" t="s">
        <v>750</v>
      </c>
      <c r="M42" s="133">
        <v>0.9</v>
      </c>
      <c r="N42" s="133">
        <v>4.3</v>
      </c>
    </row>
    <row r="43" spans="1:14" ht="15.75" thickBot="1" x14ac:dyDescent="0.3">
      <c r="A43" s="1"/>
      <c r="B43" s="6" t="s">
        <v>754</v>
      </c>
      <c r="C43" s="122">
        <f>'FEUILLE SAISIE'!C44</f>
        <v>0</v>
      </c>
      <c r="D43" s="123">
        <f t="shared" si="17"/>
        <v>0.4</v>
      </c>
      <c r="E43" s="124">
        <f t="shared" si="18"/>
        <v>0</v>
      </c>
      <c r="F43" s="124">
        <f t="shared" si="19"/>
        <v>1.9</v>
      </c>
      <c r="G43" s="9">
        <f>'FEUILLE SAISIE'!F44</f>
        <v>0</v>
      </c>
      <c r="H43" s="4">
        <f t="shared" si="16"/>
        <v>0</v>
      </c>
      <c r="L43" s="18" t="s">
        <v>715</v>
      </c>
      <c r="M43" s="133">
        <v>0.9</v>
      </c>
      <c r="N43" s="133">
        <v>4.3</v>
      </c>
    </row>
    <row r="44" spans="1:14" ht="15.75" thickBot="1" x14ac:dyDescent="0.3">
      <c r="A44" s="1"/>
      <c r="B44" s="6" t="s">
        <v>755</v>
      </c>
      <c r="C44" s="122">
        <f>'FEUILLE SAISIE'!C45</f>
        <v>0</v>
      </c>
      <c r="D44" s="123">
        <f t="shared" si="17"/>
        <v>0.6</v>
      </c>
      <c r="E44" s="124">
        <f t="shared" si="18"/>
        <v>0</v>
      </c>
      <c r="F44" s="124">
        <f t="shared" si="19"/>
        <v>2.9</v>
      </c>
      <c r="G44" s="9">
        <f>'FEUILLE SAISIE'!F45</f>
        <v>0</v>
      </c>
      <c r="H44" s="4">
        <f t="shared" si="16"/>
        <v>0</v>
      </c>
      <c r="L44" s="18" t="s">
        <v>751</v>
      </c>
      <c r="M44" s="133">
        <v>0.75</v>
      </c>
      <c r="N44" s="133">
        <v>3.6</v>
      </c>
    </row>
    <row r="45" spans="1:14" ht="15.75" thickBot="1" x14ac:dyDescent="0.3">
      <c r="A45" s="1"/>
      <c r="B45" s="6" t="s">
        <v>756</v>
      </c>
      <c r="C45" s="122">
        <f>'FEUILLE SAISIE'!C46</f>
        <v>0</v>
      </c>
      <c r="D45" s="123">
        <f t="shared" si="17"/>
        <v>0.8</v>
      </c>
      <c r="E45" s="124">
        <f t="shared" si="18"/>
        <v>0</v>
      </c>
      <c r="F45" s="124">
        <f t="shared" si="19"/>
        <v>3.8</v>
      </c>
      <c r="G45" s="9">
        <f>'FEUILLE SAISIE'!F46</f>
        <v>0</v>
      </c>
      <c r="H45" s="4">
        <f t="shared" si="16"/>
        <v>0</v>
      </c>
      <c r="L45" s="18" t="s">
        <v>752</v>
      </c>
      <c r="M45" s="133">
        <v>0.55000000000000004</v>
      </c>
      <c r="N45" s="133">
        <v>2.6</v>
      </c>
    </row>
    <row r="46" spans="1:14" ht="15.75" thickBot="1" x14ac:dyDescent="0.3">
      <c r="A46" s="1"/>
      <c r="B46" s="6" t="s">
        <v>757</v>
      </c>
      <c r="C46" s="122">
        <f>'FEUILLE SAISIE'!C47</f>
        <v>0</v>
      </c>
      <c r="D46" s="123">
        <f t="shared" si="17"/>
        <v>0.9</v>
      </c>
      <c r="E46" s="124">
        <f t="shared" si="18"/>
        <v>0</v>
      </c>
      <c r="F46" s="124">
        <f t="shared" si="19"/>
        <v>4.3</v>
      </c>
      <c r="G46" s="9">
        <f>'FEUILLE SAISIE'!F47</f>
        <v>0</v>
      </c>
      <c r="H46" s="4">
        <f t="shared" si="16"/>
        <v>0</v>
      </c>
      <c r="L46" s="18" t="s">
        <v>753</v>
      </c>
      <c r="M46" s="133">
        <v>0.35</v>
      </c>
      <c r="N46" s="133">
        <v>1.7</v>
      </c>
    </row>
    <row r="47" spans="1:14" ht="15.75" thickBot="1" x14ac:dyDescent="0.3">
      <c r="A47" s="1"/>
      <c r="B47" s="6" t="s">
        <v>758</v>
      </c>
      <c r="C47" s="122">
        <f>'FEUILLE SAISIE'!C48</f>
        <v>0</v>
      </c>
      <c r="D47" s="123">
        <f t="shared" si="13"/>
        <v>0.6</v>
      </c>
      <c r="E47" s="124">
        <f t="shared" si="14"/>
        <v>0</v>
      </c>
      <c r="F47" s="124">
        <f t="shared" si="15"/>
        <v>2.8</v>
      </c>
      <c r="G47" s="9">
        <f>'FEUILLE SAISIE'!F48</f>
        <v>0</v>
      </c>
      <c r="H47" s="4">
        <f>C47*F47*(G47/12)</f>
        <v>0</v>
      </c>
      <c r="L47" s="18" t="s">
        <v>754</v>
      </c>
      <c r="M47" s="133">
        <v>0.4</v>
      </c>
      <c r="N47" s="133">
        <v>1.9</v>
      </c>
    </row>
    <row r="48" spans="1:14" ht="15.75" thickBot="1" x14ac:dyDescent="0.3">
      <c r="A48" s="125"/>
      <c r="B48" s="126" t="s">
        <v>685</v>
      </c>
      <c r="C48" s="127"/>
      <c r="D48" s="128"/>
      <c r="E48" s="129"/>
      <c r="F48" s="129"/>
      <c r="G48" s="130"/>
      <c r="H48" s="131"/>
      <c r="L48" s="18" t="s">
        <v>755</v>
      </c>
      <c r="M48" s="133">
        <v>0.6</v>
      </c>
      <c r="N48" s="133">
        <v>2.9</v>
      </c>
    </row>
    <row r="49" spans="1:14" ht="15.75" thickBot="1" x14ac:dyDescent="0.3">
      <c r="A49" s="1"/>
      <c r="B49" s="6" t="s">
        <v>686</v>
      </c>
      <c r="C49" s="122">
        <f>'FEUILLE SAISIE'!C50</f>
        <v>0</v>
      </c>
      <c r="D49" s="123">
        <f t="shared" ref="D49:D51" si="20">VLOOKUP(B49,$L$16:$N$64,2,FALSE)</f>
        <v>0.17</v>
      </c>
      <c r="E49" s="124">
        <f t="shared" ref="E49:E51" si="21">C49*D49</f>
        <v>0</v>
      </c>
      <c r="F49" s="124">
        <f t="shared" ref="F49:F51" si="22">VLOOKUP(B49,$L$16:$N$64,3,FALSE)</f>
        <v>0.8</v>
      </c>
      <c r="G49" s="9">
        <f>'FEUILLE SAISIE'!F50</f>
        <v>0</v>
      </c>
      <c r="H49" s="4">
        <f>C49*F49*(G49/12)</f>
        <v>0</v>
      </c>
      <c r="L49" s="18" t="s">
        <v>756</v>
      </c>
      <c r="M49" s="133">
        <v>0.8</v>
      </c>
      <c r="N49" s="133">
        <v>3.8</v>
      </c>
    </row>
    <row r="50" spans="1:14" ht="15.75" thickBot="1" x14ac:dyDescent="0.3">
      <c r="A50" s="1"/>
      <c r="B50" s="6" t="s">
        <v>687</v>
      </c>
      <c r="C50" s="122">
        <f>'FEUILLE SAISIE'!C51</f>
        <v>0</v>
      </c>
      <c r="D50" s="123">
        <f t="shared" si="20"/>
        <v>0.16</v>
      </c>
      <c r="E50" s="124">
        <f t="shared" si="21"/>
        <v>0</v>
      </c>
      <c r="F50" s="124">
        <f t="shared" si="22"/>
        <v>0.75</v>
      </c>
      <c r="G50" s="9">
        <f>'FEUILLE SAISIE'!F51</f>
        <v>0</v>
      </c>
      <c r="H50" s="4">
        <f>C50*F50*(G50/12)</f>
        <v>0</v>
      </c>
      <c r="L50" s="18" t="s">
        <v>757</v>
      </c>
      <c r="M50" s="133">
        <v>0.9</v>
      </c>
      <c r="N50" s="133">
        <v>4.3</v>
      </c>
    </row>
    <row r="51" spans="1:14" ht="15.75" thickBot="1" x14ac:dyDescent="0.3">
      <c r="A51" s="1"/>
      <c r="B51" s="6" t="s">
        <v>688</v>
      </c>
      <c r="C51" s="122">
        <f>'FEUILLE SAISIE'!C52</f>
        <v>0</v>
      </c>
      <c r="D51" s="123">
        <f t="shared" si="20"/>
        <v>0.1</v>
      </c>
      <c r="E51" s="124">
        <f t="shared" si="21"/>
        <v>0</v>
      </c>
      <c r="F51" s="124">
        <f t="shared" si="22"/>
        <v>0.45</v>
      </c>
      <c r="G51" s="9">
        <f>'FEUILLE SAISIE'!F52</f>
        <v>0</v>
      </c>
      <c r="H51" s="4">
        <f>C51*F51*(G51/12)</f>
        <v>0</v>
      </c>
      <c r="L51" s="18" t="s">
        <v>758</v>
      </c>
      <c r="M51" s="133">
        <v>0.6</v>
      </c>
      <c r="N51" s="133">
        <v>2.8</v>
      </c>
    </row>
    <row r="52" spans="1:14" ht="15.75" thickBot="1" x14ac:dyDescent="0.3">
      <c r="A52" s="125"/>
      <c r="B52" s="126" t="s">
        <v>689</v>
      </c>
      <c r="C52" s="127"/>
      <c r="D52" s="128"/>
      <c r="E52" s="129"/>
      <c r="F52" s="129"/>
      <c r="G52" s="130"/>
      <c r="H52" s="131"/>
      <c r="L52" s="18" t="s">
        <v>686</v>
      </c>
      <c r="M52" s="133">
        <v>0.17</v>
      </c>
      <c r="N52" s="133">
        <v>0.8</v>
      </c>
    </row>
    <row r="53" spans="1:14" ht="15.75" thickBot="1" x14ac:dyDescent="0.3">
      <c r="A53" s="1"/>
      <c r="B53" s="6" t="s">
        <v>765</v>
      </c>
      <c r="C53" s="122">
        <f>'FEUILLE SAISIE'!C54</f>
        <v>0</v>
      </c>
      <c r="D53" s="123">
        <f t="shared" ref="D53" si="23">VLOOKUP(B53,$L$16:$N$64,2,FALSE)</f>
        <v>0.15</v>
      </c>
      <c r="E53" s="124">
        <f t="shared" ref="E53" si="24">C53*D53</f>
        <v>0</v>
      </c>
      <c r="F53" s="124">
        <f t="shared" ref="F53" si="25">VLOOKUP(B53,$L$16:$N$64,3,FALSE)</f>
        <v>0.7</v>
      </c>
      <c r="G53" s="9">
        <f>'FEUILLE SAISIE'!F54</f>
        <v>0</v>
      </c>
      <c r="H53" s="4">
        <f>C53*F53*(G53/12)</f>
        <v>0</v>
      </c>
      <c r="L53" s="18" t="s">
        <v>687</v>
      </c>
      <c r="M53" s="133">
        <v>0.16</v>
      </c>
      <c r="N53" s="133">
        <v>0.75</v>
      </c>
    </row>
    <row r="54" spans="1:14" ht="15.75" thickBot="1" x14ac:dyDescent="0.3">
      <c r="A54" s="1"/>
      <c r="B54" s="6" t="s">
        <v>760</v>
      </c>
      <c r="C54" s="122">
        <f>'FEUILLE SAISIE'!C55</f>
        <v>0</v>
      </c>
      <c r="D54" s="123">
        <f t="shared" ref="D54:D58" si="26">VLOOKUP(B54,$L$16:$N$64,2,FALSE)</f>
        <v>0.16</v>
      </c>
      <c r="E54" s="124">
        <f t="shared" ref="E54:E58" si="27">C54*D54</f>
        <v>0</v>
      </c>
      <c r="F54" s="124">
        <f t="shared" ref="F54:F58" si="28">VLOOKUP(B54,$L$16:$N$64,3,FALSE)</f>
        <v>0.75</v>
      </c>
      <c r="G54" s="9">
        <f>'FEUILLE SAISIE'!F55</f>
        <v>0</v>
      </c>
      <c r="H54" s="4">
        <f>C54*F54*(G54/12)</f>
        <v>0</v>
      </c>
      <c r="L54" s="18" t="s">
        <v>688</v>
      </c>
      <c r="M54" s="133">
        <v>0.1</v>
      </c>
      <c r="N54" s="133">
        <v>0.45</v>
      </c>
    </row>
    <row r="55" spans="1:14" ht="15.75" thickBot="1" x14ac:dyDescent="0.3">
      <c r="A55" s="1"/>
      <c r="B55" s="6" t="s">
        <v>761</v>
      </c>
      <c r="C55" s="122">
        <f>'FEUILLE SAISIE'!C56</f>
        <v>0</v>
      </c>
      <c r="D55" s="123">
        <f t="shared" si="26"/>
        <v>0.13</v>
      </c>
      <c r="E55" s="124">
        <f t="shared" si="27"/>
        <v>0</v>
      </c>
      <c r="F55" s="124">
        <f t="shared" si="28"/>
        <v>0.6</v>
      </c>
      <c r="G55" s="9">
        <f>'FEUILLE SAISIE'!F56</f>
        <v>0</v>
      </c>
      <c r="H55" s="4">
        <f t="shared" ref="H55:H57" si="29">C55*F55*(G55/12)</f>
        <v>0</v>
      </c>
      <c r="L55" s="18" t="s">
        <v>765</v>
      </c>
      <c r="M55" s="133">
        <v>0.15</v>
      </c>
      <c r="N55" s="133">
        <v>0.7</v>
      </c>
    </row>
    <row r="56" spans="1:14" ht="15.75" thickBot="1" x14ac:dyDescent="0.3">
      <c r="A56" s="1"/>
      <c r="B56" s="6" t="s">
        <v>762</v>
      </c>
      <c r="C56" s="122">
        <f>'FEUILLE SAISIE'!C57</f>
        <v>0</v>
      </c>
      <c r="D56" s="123">
        <f t="shared" si="26"/>
        <v>0.12</v>
      </c>
      <c r="E56" s="124">
        <f t="shared" si="27"/>
        <v>0</v>
      </c>
      <c r="F56" s="124">
        <f t="shared" si="28"/>
        <v>0.55000000000000004</v>
      </c>
      <c r="G56" s="9">
        <f>'FEUILLE SAISIE'!F57</f>
        <v>0</v>
      </c>
      <c r="H56" s="4">
        <f t="shared" si="29"/>
        <v>0</v>
      </c>
      <c r="L56" s="18" t="s">
        <v>760</v>
      </c>
      <c r="M56" s="133">
        <v>0.16</v>
      </c>
      <c r="N56" s="133">
        <v>0.75</v>
      </c>
    </row>
    <row r="57" spans="1:14" ht="15.75" thickBot="1" x14ac:dyDescent="0.3">
      <c r="A57" s="1"/>
      <c r="B57" s="6" t="s">
        <v>763</v>
      </c>
      <c r="C57" s="122">
        <f>'FEUILLE SAISIE'!C58</f>
        <v>0</v>
      </c>
      <c r="D57" s="123">
        <f t="shared" si="26"/>
        <v>0.03</v>
      </c>
      <c r="E57" s="124">
        <f t="shared" si="27"/>
        <v>0</v>
      </c>
      <c r="F57" s="124">
        <f t="shared" si="28"/>
        <v>0.15</v>
      </c>
      <c r="G57" s="9">
        <f>'FEUILLE SAISIE'!F58</f>
        <v>0</v>
      </c>
      <c r="H57" s="4">
        <f t="shared" si="29"/>
        <v>0</v>
      </c>
      <c r="L57" s="18" t="s">
        <v>761</v>
      </c>
      <c r="M57" s="133">
        <v>0.13</v>
      </c>
      <c r="N57" s="133">
        <v>0.6</v>
      </c>
    </row>
    <row r="58" spans="1:14" ht="15.75" thickBot="1" x14ac:dyDescent="0.3">
      <c r="A58" s="1"/>
      <c r="B58" s="6" t="s">
        <v>764</v>
      </c>
      <c r="C58" s="122">
        <f>'FEUILLE SAISIE'!C59</f>
        <v>0</v>
      </c>
      <c r="D58" s="123">
        <f t="shared" si="26"/>
        <v>0.03</v>
      </c>
      <c r="E58" s="124">
        <f t="shared" si="27"/>
        <v>0</v>
      </c>
      <c r="F58" s="124">
        <f t="shared" si="28"/>
        <v>0.15</v>
      </c>
      <c r="G58" s="9">
        <f>'FEUILLE SAISIE'!F59</f>
        <v>0</v>
      </c>
      <c r="H58" s="4">
        <f>C58*F58*(G58/12)</f>
        <v>0</v>
      </c>
      <c r="L58" s="18" t="s">
        <v>762</v>
      </c>
      <c r="M58" s="133">
        <v>0.12</v>
      </c>
      <c r="N58" s="133">
        <v>0.55000000000000004</v>
      </c>
    </row>
    <row r="59" spans="1:14" ht="15.75" thickBot="1" x14ac:dyDescent="0.3">
      <c r="A59" s="125"/>
      <c r="B59" s="126" t="s">
        <v>690</v>
      </c>
      <c r="C59" s="127"/>
      <c r="D59" s="128"/>
      <c r="E59" s="129"/>
      <c r="F59" s="129"/>
      <c r="G59" s="130"/>
      <c r="H59" s="131"/>
      <c r="L59" s="18" t="s">
        <v>763</v>
      </c>
      <c r="M59" s="133">
        <v>0.03</v>
      </c>
      <c r="N59" s="133">
        <v>0.15</v>
      </c>
    </row>
    <row r="60" spans="1:14" ht="15.75" thickBot="1" x14ac:dyDescent="0.3">
      <c r="A60" s="1"/>
      <c r="B60" s="6" t="s">
        <v>691</v>
      </c>
      <c r="C60" s="122">
        <f>'FEUILLE SAISIE'!C61</f>
        <v>0</v>
      </c>
      <c r="D60" s="123">
        <f t="shared" ref="D60" si="30">VLOOKUP(B60,$L$16:$N$64,2,FALSE)</f>
        <v>0.17</v>
      </c>
      <c r="E60" s="124">
        <f t="shared" ref="E60" si="31">C60*D60</f>
        <v>0</v>
      </c>
      <c r="F60" s="124">
        <f t="shared" ref="F60" si="32">VLOOKUP(B60,$L$16:$N$64,3,FALSE)</f>
        <v>0.8</v>
      </c>
      <c r="G60" s="9">
        <f>'FEUILLE SAISIE'!F61</f>
        <v>0</v>
      </c>
      <c r="H60" s="4">
        <f>C60*F60*(G60/12)</f>
        <v>0</v>
      </c>
      <c r="L60" s="18" t="s">
        <v>764</v>
      </c>
      <c r="M60" s="133">
        <v>0.03</v>
      </c>
      <c r="N60" s="133">
        <v>0.15</v>
      </c>
    </row>
    <row r="61" spans="1:14" ht="15.75" thickBot="1" x14ac:dyDescent="0.3">
      <c r="A61" s="1"/>
      <c r="B61" s="6" t="s">
        <v>766</v>
      </c>
      <c r="C61" s="122">
        <f>'FEUILLE SAISIE'!C62</f>
        <v>0</v>
      </c>
      <c r="D61" s="123">
        <f t="shared" ref="D61:D63" si="33">VLOOKUP(B61,$L$16:$N$64,2,FALSE)</f>
        <v>0.17</v>
      </c>
      <c r="E61" s="124">
        <f t="shared" ref="E61:E63" si="34">C61*D61</f>
        <v>0</v>
      </c>
      <c r="F61" s="124">
        <f t="shared" ref="F61:F63" si="35">VLOOKUP(B61,$L$16:$N$64,3,FALSE)</f>
        <v>0.8</v>
      </c>
      <c r="G61" s="9">
        <f>'FEUILLE SAISIE'!F62</f>
        <v>0</v>
      </c>
      <c r="H61" s="4">
        <f>C61*F61*(G61/12)</f>
        <v>0</v>
      </c>
      <c r="L61" s="18" t="s">
        <v>691</v>
      </c>
      <c r="M61" s="133">
        <v>0.17</v>
      </c>
      <c r="N61" s="133">
        <v>0.8</v>
      </c>
    </row>
    <row r="62" spans="1:14" ht="15.75" thickBot="1" x14ac:dyDescent="0.3">
      <c r="A62" s="1"/>
      <c r="B62" s="6" t="s">
        <v>692</v>
      </c>
      <c r="C62" s="122">
        <f>'FEUILLE SAISIE'!C63</f>
        <v>0</v>
      </c>
      <c r="D62" s="123">
        <f t="shared" si="33"/>
        <v>0.09</v>
      </c>
      <c r="E62" s="124">
        <f t="shared" si="34"/>
        <v>0</v>
      </c>
      <c r="F62" s="124">
        <f t="shared" si="35"/>
        <v>0.4</v>
      </c>
      <c r="G62" s="9">
        <f>'FEUILLE SAISIE'!F63</f>
        <v>0</v>
      </c>
      <c r="H62" s="4">
        <f>C62*F62*(G62/12)</f>
        <v>0</v>
      </c>
      <c r="L62" s="18" t="s">
        <v>766</v>
      </c>
      <c r="M62" s="133">
        <v>0.17</v>
      </c>
      <c r="N62" s="133">
        <v>0.8</v>
      </c>
    </row>
    <row r="63" spans="1:14" x14ac:dyDescent="0.25">
      <c r="A63" s="1"/>
      <c r="B63" s="6" t="s">
        <v>767</v>
      </c>
      <c r="C63" s="122">
        <f>'FEUILLE SAISIE'!C64</f>
        <v>0</v>
      </c>
      <c r="D63" s="123">
        <f t="shared" si="33"/>
        <v>0.09</v>
      </c>
      <c r="E63" s="124">
        <f t="shared" si="34"/>
        <v>0</v>
      </c>
      <c r="F63" s="124">
        <f t="shared" si="35"/>
        <v>0.4</v>
      </c>
      <c r="G63" s="9">
        <f>'FEUILLE SAISIE'!F64</f>
        <v>0</v>
      </c>
      <c r="H63" s="4">
        <f>C63*F63*(G63/12)</f>
        <v>0</v>
      </c>
      <c r="L63" s="18" t="s">
        <v>692</v>
      </c>
      <c r="M63" s="133">
        <v>0.09</v>
      </c>
      <c r="N63" s="133">
        <v>0.4</v>
      </c>
    </row>
    <row r="64" spans="1:14" x14ac:dyDescent="0.25">
      <c r="A64" s="1"/>
      <c r="B64" s="18"/>
      <c r="C64" s="118"/>
      <c r="L64" s="18" t="s">
        <v>767</v>
      </c>
      <c r="M64" s="133">
        <v>0.09</v>
      </c>
      <c r="N64" s="133">
        <v>0.4</v>
      </c>
    </row>
    <row r="65" spans="1:9" x14ac:dyDescent="0.25">
      <c r="A65" s="1"/>
      <c r="B65" s="18"/>
      <c r="C65" s="118"/>
    </row>
    <row r="66" spans="1:9" x14ac:dyDescent="0.25">
      <c r="A66" s="119"/>
      <c r="B66" s="15" t="s">
        <v>9</v>
      </c>
      <c r="C66" s="44" t="e">
        <f>SUM(E16:E63)</f>
        <v>#N/A</v>
      </c>
      <c r="D66" s="3"/>
    </row>
    <row r="67" spans="1:9" x14ac:dyDescent="0.25">
      <c r="A67" s="43"/>
      <c r="B67" s="15" t="s">
        <v>10</v>
      </c>
      <c r="C67" s="44" t="e">
        <f>SUM(H16:H63)</f>
        <v>#N/A</v>
      </c>
      <c r="D67" s="3"/>
    </row>
    <row r="68" spans="1:9" x14ac:dyDescent="0.25">
      <c r="A68" s="43"/>
      <c r="B68" s="15" t="s">
        <v>11</v>
      </c>
      <c r="C68" s="44" t="e">
        <f>C67/C66</f>
        <v>#N/A</v>
      </c>
      <c r="D68" s="3"/>
    </row>
    <row r="69" spans="1:9" x14ac:dyDescent="0.25">
      <c r="A69" s="18"/>
      <c r="B69" s="6"/>
      <c r="C69" s="45"/>
    </row>
    <row r="70" spans="1:9" x14ac:dyDescent="0.25">
      <c r="A70" s="18"/>
      <c r="B70" s="6"/>
      <c r="C70" s="45"/>
    </row>
    <row r="71" spans="1:9" ht="18.75" x14ac:dyDescent="0.3">
      <c r="A71" s="19" t="s">
        <v>95</v>
      </c>
    </row>
    <row r="72" spans="1:9" ht="15.75" thickBot="1" x14ac:dyDescent="0.3">
      <c r="E72" s="18"/>
      <c r="F72" s="35"/>
      <c r="G72" s="35"/>
      <c r="H72" s="35"/>
      <c r="I72" s="35"/>
    </row>
    <row r="73" spans="1:9" ht="15.75" thickBot="1" x14ac:dyDescent="0.3">
      <c r="B73" s="18" t="s">
        <v>12</v>
      </c>
      <c r="C73" s="38">
        <f>'FEUILLE SAISIE'!C68</f>
        <v>0</v>
      </c>
      <c r="D73" t="s">
        <v>13</v>
      </c>
      <c r="E73" s="18"/>
      <c r="F73" s="35"/>
      <c r="G73" s="35"/>
      <c r="H73" s="35"/>
      <c r="I73" s="35"/>
    </row>
    <row r="74" spans="1:9" ht="15.75" thickBot="1" x14ac:dyDescent="0.3">
      <c r="E74" s="18"/>
      <c r="F74" s="35"/>
      <c r="G74" s="35"/>
      <c r="H74" s="35"/>
      <c r="I74" s="35"/>
    </row>
    <row r="75" spans="1:9" ht="15.75" thickBot="1" x14ac:dyDescent="0.3">
      <c r="A75" s="427" t="s">
        <v>14</v>
      </c>
      <c r="B75" s="489"/>
      <c r="C75" s="38">
        <f>'FEUILLE SAISIE'!C70</f>
        <v>0</v>
      </c>
      <c r="D75" t="s">
        <v>13</v>
      </c>
      <c r="E75" s="39" t="s">
        <v>15</v>
      </c>
      <c r="F75" s="35"/>
      <c r="G75" s="35"/>
      <c r="H75" s="35"/>
      <c r="I75" s="35"/>
    </row>
    <row r="76" spans="1:9" ht="15.75" thickBot="1" x14ac:dyDescent="0.3">
      <c r="E76" s="18"/>
      <c r="F76" s="35"/>
      <c r="G76" s="35"/>
      <c r="H76" s="35"/>
    </row>
    <row r="77" spans="1:9" ht="15.75" thickBot="1" x14ac:dyDescent="0.3">
      <c r="A77" s="37"/>
      <c r="B77" s="75" t="s">
        <v>16</v>
      </c>
      <c r="C77" s="38">
        <f>C73-C75</f>
        <v>0</v>
      </c>
      <c r="D77" t="s">
        <v>13</v>
      </c>
      <c r="E77" s="18"/>
      <c r="F77" s="35"/>
      <c r="G77" s="35"/>
      <c r="H77" s="35"/>
    </row>
    <row r="78" spans="1:9" ht="15.75" thickBot="1" x14ac:dyDescent="0.3">
      <c r="E78" s="18"/>
      <c r="F78" s="35"/>
      <c r="G78" s="35"/>
      <c r="H78" s="35"/>
    </row>
    <row r="79" spans="1:9" ht="15.75" thickBot="1" x14ac:dyDescent="0.3">
      <c r="A79" s="427" t="s">
        <v>719</v>
      </c>
      <c r="B79" s="427"/>
      <c r="C79" s="38">
        <f>'FEUILLE SAISIE'!C74</f>
        <v>0</v>
      </c>
      <c r="D79" t="s">
        <v>13</v>
      </c>
      <c r="E79" s="39" t="s">
        <v>720</v>
      </c>
      <c r="F79" s="35"/>
      <c r="G79" s="35"/>
      <c r="H79" s="35"/>
    </row>
    <row r="80" spans="1:9" ht="14.65" customHeight="1" thickBot="1" x14ac:dyDescent="0.3">
      <c r="A80" s="427" t="s">
        <v>717</v>
      </c>
      <c r="B80" s="427"/>
      <c r="C80" s="38">
        <f>'FEUILLE SAISIE'!C75</f>
        <v>0</v>
      </c>
      <c r="D80" t="s">
        <v>13</v>
      </c>
      <c r="E80" s="39" t="s">
        <v>718</v>
      </c>
      <c r="F80" s="35"/>
      <c r="G80" s="35"/>
      <c r="H80" s="35"/>
    </row>
    <row r="81" spans="1:9" ht="15.75" thickBot="1" x14ac:dyDescent="0.3">
      <c r="E81" s="18"/>
      <c r="F81" s="35"/>
      <c r="G81" s="35"/>
      <c r="H81" s="35"/>
    </row>
    <row r="82" spans="1:9" ht="15.75" thickBot="1" x14ac:dyDescent="0.3">
      <c r="A82" s="134"/>
      <c r="B82" s="75" t="s">
        <v>17</v>
      </c>
      <c r="C82" s="38">
        <f>C77-C79-C80</f>
        <v>0</v>
      </c>
      <c r="D82" t="s">
        <v>13</v>
      </c>
      <c r="E82" s="18"/>
      <c r="F82" s="35"/>
      <c r="G82" s="35"/>
      <c r="H82" s="35"/>
    </row>
    <row r="83" spans="1:9" ht="15.75" thickBot="1" x14ac:dyDescent="0.3">
      <c r="E83" s="18"/>
      <c r="F83" s="18" t="s">
        <v>18</v>
      </c>
      <c r="G83" s="38">
        <f>'FEUILLE SAISIE'!G78</f>
        <v>0</v>
      </c>
      <c r="H83" s="40" t="s">
        <v>13</v>
      </c>
    </row>
    <row r="84" spans="1:9" ht="26.25" customHeight="1" thickBot="1" x14ac:dyDescent="0.3">
      <c r="A84" s="427" t="s">
        <v>695</v>
      </c>
      <c r="B84" s="427"/>
      <c r="C84" s="135">
        <f>'FEUILLE SAISIE'!C79</f>
        <v>0</v>
      </c>
      <c r="D84" t="s">
        <v>13</v>
      </c>
      <c r="F84" s="136" t="s">
        <v>19</v>
      </c>
      <c r="G84" s="135">
        <f>'FEUILLE SAISIE'!G79</f>
        <v>0</v>
      </c>
      <c r="H84" s="137" t="s">
        <v>13</v>
      </c>
    </row>
    <row r="85" spans="1:9" ht="15.75" thickBot="1" x14ac:dyDescent="0.3">
      <c r="E85" s="18"/>
      <c r="F85" s="18" t="s">
        <v>20</v>
      </c>
      <c r="G85" s="38">
        <f>'FEUILLE SAISIE'!G80</f>
        <v>0</v>
      </c>
      <c r="H85" s="40" t="s">
        <v>13</v>
      </c>
    </row>
    <row r="86" spans="1:9" ht="15.75" thickBot="1" x14ac:dyDescent="0.3">
      <c r="A86" s="428" t="s">
        <v>21</v>
      </c>
      <c r="B86" s="490"/>
      <c r="C86" s="38">
        <f>C82-C84</f>
        <v>0</v>
      </c>
      <c r="D86" t="s">
        <v>13</v>
      </c>
      <c r="E86" s="18"/>
      <c r="G86" s="35"/>
      <c r="H86" s="35"/>
    </row>
    <row r="87" spans="1:9" ht="15.75" thickBot="1" x14ac:dyDescent="0.3">
      <c r="E87" s="18"/>
      <c r="F87" s="18" t="s">
        <v>22</v>
      </c>
      <c r="G87" s="38">
        <f>'FEUILLE SAISIE'!G84</f>
        <v>0</v>
      </c>
      <c r="H87" s="40" t="s">
        <v>13</v>
      </c>
    </row>
    <row r="88" spans="1:9" ht="14.65" customHeight="1" thickBot="1" x14ac:dyDescent="0.3">
      <c r="A88" s="427" t="s">
        <v>721</v>
      </c>
      <c r="B88" s="427"/>
      <c r="C88" s="38">
        <f>'FEUILLE SAISIE'!C85</f>
        <v>0</v>
      </c>
      <c r="D88" t="s">
        <v>13</v>
      </c>
      <c r="F88" s="18" t="s">
        <v>23</v>
      </c>
      <c r="G88" s="38">
        <f>'FEUILLE SAISIE'!G85</f>
        <v>0</v>
      </c>
      <c r="H88" s="137" t="s">
        <v>13</v>
      </c>
    </row>
    <row r="89" spans="1:9" ht="15.75" thickBot="1" x14ac:dyDescent="0.3">
      <c r="E89" s="18"/>
      <c r="F89" s="18" t="s">
        <v>24</v>
      </c>
      <c r="G89" s="38">
        <f>'FEUILLE SAISIE'!G86</f>
        <v>0</v>
      </c>
      <c r="H89" s="40" t="s">
        <v>13</v>
      </c>
    </row>
    <row r="90" spans="1:9" ht="15.75" thickBot="1" x14ac:dyDescent="0.3">
      <c r="E90" s="18"/>
      <c r="F90" s="18"/>
      <c r="G90" s="18"/>
      <c r="H90" s="40"/>
    </row>
    <row r="91" spans="1:9" ht="15.75" thickBot="1" x14ac:dyDescent="0.3">
      <c r="E91" s="18"/>
      <c r="F91" s="18"/>
      <c r="G91" s="18" t="s">
        <v>724</v>
      </c>
      <c r="H91" s="38">
        <f>'FEUILLE SAISIE'!C81</f>
        <v>0</v>
      </c>
      <c r="I91" s="40" t="s">
        <v>13</v>
      </c>
    </row>
    <row r="92" spans="1:9" ht="15.75" thickBot="1" x14ac:dyDescent="0.3">
      <c r="A92" s="427" t="s">
        <v>723</v>
      </c>
      <c r="B92" s="427"/>
      <c r="C92" s="38">
        <f>'FEUILLE SAISIE'!C81+'FEUILLE SAISIE'!C87+'FEUILLE SAISIE'!G89</f>
        <v>0</v>
      </c>
      <c r="D92" t="s">
        <v>13</v>
      </c>
      <c r="G92" s="18" t="s">
        <v>725</v>
      </c>
      <c r="H92" s="38">
        <f>'FEUILLE SAISIE'!G89</f>
        <v>0</v>
      </c>
      <c r="I92" s="137" t="s">
        <v>13</v>
      </c>
    </row>
    <row r="93" spans="1:9" ht="15.75" thickBot="1" x14ac:dyDescent="0.3">
      <c r="E93" s="18"/>
      <c r="F93" s="18"/>
      <c r="G93" s="18" t="s">
        <v>729</v>
      </c>
      <c r="H93" s="38">
        <f>'FEUILLE SAISIE'!C87</f>
        <v>0</v>
      </c>
      <c r="I93" s="40" t="s">
        <v>13</v>
      </c>
    </row>
    <row r="94" spans="1:9" ht="18.75" x14ac:dyDescent="0.3">
      <c r="A94" s="19" t="s">
        <v>113</v>
      </c>
      <c r="E94" s="18"/>
      <c r="F94" s="35"/>
      <c r="G94" s="35"/>
      <c r="H94" s="35"/>
    </row>
    <row r="95" spans="1:9" ht="15.75" x14ac:dyDescent="0.25">
      <c r="A95" s="41"/>
      <c r="E95" s="18"/>
      <c r="F95" s="35"/>
      <c r="G95" s="35"/>
      <c r="H95" s="35"/>
    </row>
    <row r="96" spans="1:9" x14ac:dyDescent="0.25">
      <c r="A96" s="42" t="s">
        <v>114</v>
      </c>
      <c r="E96" s="18"/>
      <c r="F96" s="35"/>
      <c r="G96" s="35"/>
      <c r="H96" s="35"/>
    </row>
    <row r="97" spans="1:8" x14ac:dyDescent="0.25">
      <c r="A97" s="43"/>
      <c r="B97" s="15" t="s">
        <v>52</v>
      </c>
      <c r="C97" s="44">
        <f>'FEUILLE SAISIE'!C117</f>
        <v>0</v>
      </c>
      <c r="E97" s="18"/>
      <c r="F97" s="35"/>
      <c r="G97" s="35"/>
      <c r="H97" s="35"/>
    </row>
    <row r="98" spans="1:8" x14ac:dyDescent="0.25">
      <c r="A98" s="43"/>
      <c r="B98" s="15" t="s">
        <v>53</v>
      </c>
      <c r="C98" s="44" t="e">
        <f>C97/$C$66</f>
        <v>#N/A</v>
      </c>
      <c r="E98" s="18"/>
      <c r="F98" s="35"/>
      <c r="G98" s="35"/>
      <c r="H98" s="35"/>
    </row>
    <row r="99" spans="1:8" x14ac:dyDescent="0.25">
      <c r="A99" s="42"/>
      <c r="E99" s="18"/>
      <c r="F99" s="35"/>
      <c r="G99" s="35"/>
      <c r="H99" s="35"/>
    </row>
    <row r="100" spans="1:8" x14ac:dyDescent="0.25">
      <c r="A100" s="42" t="s">
        <v>115</v>
      </c>
      <c r="E100" s="18"/>
      <c r="F100" s="35"/>
      <c r="G100" s="35"/>
      <c r="H100" s="35"/>
    </row>
    <row r="101" spans="1:8" x14ac:dyDescent="0.25">
      <c r="A101" s="43"/>
      <c r="B101" s="15" t="s">
        <v>52</v>
      </c>
      <c r="C101" s="44">
        <f>'FEUILLE SAISIE'!C132</f>
        <v>0</v>
      </c>
      <c r="D101" s="3"/>
    </row>
    <row r="102" spans="1:8" x14ac:dyDescent="0.25">
      <c r="A102" s="43"/>
      <c r="B102" s="15" t="s">
        <v>53</v>
      </c>
      <c r="C102" s="44" t="e">
        <f>C101/$C$66</f>
        <v>#N/A</v>
      </c>
      <c r="D102" s="3"/>
    </row>
    <row r="103" spans="1:8" x14ac:dyDescent="0.25">
      <c r="A103" s="3"/>
      <c r="B103" s="6"/>
      <c r="C103" s="45"/>
      <c r="D103" s="3"/>
    </row>
    <row r="104" spans="1:8" x14ac:dyDescent="0.25">
      <c r="A104" s="3"/>
      <c r="B104" s="6"/>
      <c r="C104" s="45"/>
      <c r="D104" s="3"/>
    </row>
    <row r="105" spans="1:8" ht="18.75" x14ac:dyDescent="0.3">
      <c r="A105" s="19" t="s">
        <v>122</v>
      </c>
    </row>
    <row r="106" spans="1:8" ht="15.75" thickBot="1" x14ac:dyDescent="0.3"/>
    <row r="107" spans="1:8" x14ac:dyDescent="0.25">
      <c r="B107" s="469" t="s">
        <v>116</v>
      </c>
      <c r="C107" s="470"/>
      <c r="E107" s="469" t="s">
        <v>64</v>
      </c>
      <c r="F107" s="470"/>
    </row>
    <row r="108" spans="1:8" x14ac:dyDescent="0.25">
      <c r="B108" s="471"/>
      <c r="C108" s="472"/>
      <c r="E108" s="471"/>
      <c r="F108" s="472"/>
    </row>
    <row r="109" spans="1:8" ht="15.75" thickBot="1" x14ac:dyDescent="0.3">
      <c r="B109" s="473"/>
      <c r="C109" s="474"/>
      <c r="E109" s="473"/>
      <c r="F109" s="474"/>
    </row>
    <row r="110" spans="1:8" ht="21.6" customHeight="1" thickBot="1" x14ac:dyDescent="0.3">
      <c r="B110" s="475">
        <v>215.8</v>
      </c>
      <c r="C110" s="476"/>
      <c r="D110" t="s">
        <v>65</v>
      </c>
      <c r="E110" s="477" t="e">
        <f>$C$67</f>
        <v>#N/A</v>
      </c>
      <c r="F110" s="478"/>
      <c r="G110" t="s">
        <v>65</v>
      </c>
    </row>
    <row r="111" spans="1:8" ht="15.75" thickBot="1" x14ac:dyDescent="0.3"/>
    <row r="112" spans="1:8" x14ac:dyDescent="0.25">
      <c r="C112" s="479" t="s">
        <v>66</v>
      </c>
      <c r="D112" s="480"/>
    </row>
    <row r="113" spans="1:8" ht="15.75" thickBot="1" x14ac:dyDescent="0.3">
      <c r="C113" s="481"/>
      <c r="D113" s="482"/>
    </row>
    <row r="114" spans="1:8" ht="15.75" thickBot="1" x14ac:dyDescent="0.3">
      <c r="A114" s="483" t="s">
        <v>67</v>
      </c>
      <c r="B114" s="484"/>
      <c r="C114" s="485" t="e">
        <f>B110-E110</f>
        <v>#N/A</v>
      </c>
      <c r="D114" s="486"/>
      <c r="E114" t="s">
        <v>65</v>
      </c>
    </row>
    <row r="115" spans="1:8" ht="15.75" thickBot="1" x14ac:dyDescent="0.3">
      <c r="A115" s="483" t="s">
        <v>68</v>
      </c>
      <c r="B115" s="484"/>
      <c r="C115" s="487" t="e">
        <f>C114/E110</f>
        <v>#N/A</v>
      </c>
      <c r="D115" s="488"/>
    </row>
    <row r="118" spans="1:8" ht="15.75" thickBot="1" x14ac:dyDescent="0.3"/>
    <row r="119" spans="1:8" ht="15.75" thickBot="1" x14ac:dyDescent="0.3">
      <c r="A119" s="483" t="s">
        <v>117</v>
      </c>
      <c r="B119" s="491"/>
      <c r="C119" s="485">
        <f>$C$73</f>
        <v>0</v>
      </c>
      <c r="D119" s="478"/>
    </row>
    <row r="120" spans="1:8" ht="15.75" thickBot="1" x14ac:dyDescent="0.3">
      <c r="A120" s="483" t="s">
        <v>118</v>
      </c>
      <c r="B120" s="491"/>
      <c r="C120" s="485">
        <f>$C$77</f>
        <v>0</v>
      </c>
      <c r="D120" s="478"/>
      <c r="E120" s="45"/>
      <c r="G120" s="18" t="s">
        <v>732</v>
      </c>
      <c r="H120" s="120">
        <f>$C$79</f>
        <v>0</v>
      </c>
    </row>
    <row r="121" spans="1:8" ht="15.75" thickBot="1" x14ac:dyDescent="0.3">
      <c r="A121" s="483" t="s">
        <v>120</v>
      </c>
      <c r="B121" s="491"/>
      <c r="C121" s="485">
        <f>$C$82</f>
        <v>0</v>
      </c>
      <c r="D121" s="478"/>
    </row>
    <row r="122" spans="1:8" ht="15.75" thickBot="1" x14ac:dyDescent="0.3">
      <c r="A122" s="483" t="s">
        <v>121</v>
      </c>
      <c r="B122" s="491"/>
      <c r="C122" s="485" t="e">
        <f>$C$66</f>
        <v>#N/A</v>
      </c>
      <c r="D122" s="478"/>
    </row>
    <row r="123" spans="1:8" ht="15.75" thickBot="1" x14ac:dyDescent="0.3">
      <c r="A123" s="483" t="s">
        <v>69</v>
      </c>
      <c r="B123" s="491"/>
      <c r="C123" s="492" t="e">
        <f>C122/C120</f>
        <v>#N/A</v>
      </c>
      <c r="D123" s="493"/>
    </row>
    <row r="124" spans="1:8" ht="15.75" thickBot="1" x14ac:dyDescent="0.3">
      <c r="A124" s="483" t="s">
        <v>70</v>
      </c>
      <c r="B124" s="491"/>
      <c r="C124" s="485" t="e">
        <f>$C$68</f>
        <v>#N/A</v>
      </c>
      <c r="D124" s="478"/>
      <c r="F124" s="494" t="s">
        <v>800</v>
      </c>
      <c r="G124" s="494"/>
      <c r="H124" s="494"/>
    </row>
    <row r="125" spans="1:8" ht="15.75" thickBot="1" x14ac:dyDescent="0.3">
      <c r="A125" s="483" t="s">
        <v>71</v>
      </c>
      <c r="B125" s="491"/>
      <c r="C125" s="496" t="e">
        <f>(C86/C66)*100</f>
        <v>#N/A</v>
      </c>
      <c r="D125" s="497"/>
      <c r="F125" s="494"/>
      <c r="G125" s="494"/>
      <c r="H125" s="494"/>
    </row>
    <row r="126" spans="1:8" ht="15.75" thickBot="1" x14ac:dyDescent="0.3">
      <c r="A126" s="483" t="s">
        <v>730</v>
      </c>
      <c r="B126" s="491"/>
      <c r="C126" s="487" t="e">
        <f>C84/C82</f>
        <v>#DIV/0!</v>
      </c>
      <c r="D126" s="495"/>
      <c r="F126" s="494"/>
      <c r="G126" s="494"/>
      <c r="H126" s="494"/>
    </row>
    <row r="127" spans="1:8" ht="15.75" thickBot="1" x14ac:dyDescent="0.3">
      <c r="A127" s="483" t="s">
        <v>72</v>
      </c>
      <c r="B127" s="491"/>
      <c r="C127" s="487" t="e">
        <f>C88/C84</f>
        <v>#DIV/0!</v>
      </c>
      <c r="D127" s="495"/>
    </row>
    <row r="128" spans="1:8" ht="15.75" thickBot="1" x14ac:dyDescent="0.3">
      <c r="A128" s="483" t="s">
        <v>731</v>
      </c>
      <c r="B128" s="491"/>
      <c r="C128" s="487" t="e">
        <f>(H91+H92)/(C84+C88+C92)</f>
        <v>#DIV/0!</v>
      </c>
      <c r="D128" s="495"/>
    </row>
    <row r="151" spans="1:7" x14ac:dyDescent="0.25">
      <c r="B151" s="3" t="s">
        <v>801</v>
      </c>
      <c r="C151" s="3" t="s">
        <v>802</v>
      </c>
      <c r="D151" s="3" t="s">
        <v>803</v>
      </c>
    </row>
    <row r="152" spans="1:7" x14ac:dyDescent="0.25">
      <c r="A152" t="s">
        <v>804</v>
      </c>
      <c r="B152" s="397">
        <f>$C$86</f>
        <v>0</v>
      </c>
      <c r="C152" s="397">
        <f>$C$86+($C$84-$C$88)</f>
        <v>0</v>
      </c>
      <c r="D152" s="397">
        <f>$C$86+($C$84-$H$93)</f>
        <v>0</v>
      </c>
    </row>
    <row r="153" spans="1:7" x14ac:dyDescent="0.25">
      <c r="A153" t="s">
        <v>805</v>
      </c>
      <c r="B153" s="397">
        <f>$C$84</f>
        <v>0</v>
      </c>
      <c r="C153" s="397">
        <f>$C$88</f>
        <v>0</v>
      </c>
      <c r="D153" s="397">
        <f>$H$93</f>
        <v>0</v>
      </c>
    </row>
    <row r="154" spans="1:7" x14ac:dyDescent="0.25">
      <c r="A154" t="s">
        <v>806</v>
      </c>
      <c r="B154" s="397">
        <f>$C$79</f>
        <v>0</v>
      </c>
      <c r="C154" s="397">
        <f>$C$79</f>
        <v>0</v>
      </c>
      <c r="D154" s="397">
        <f>$C$79</f>
        <v>0</v>
      </c>
    </row>
    <row r="155" spans="1:7" x14ac:dyDescent="0.25">
      <c r="A155" t="s">
        <v>808</v>
      </c>
      <c r="B155" s="397">
        <f>$C$80</f>
        <v>0</v>
      </c>
      <c r="C155" s="397">
        <f t="shared" ref="C155:D155" si="36">$C$80</f>
        <v>0</v>
      </c>
      <c r="D155" s="397">
        <f t="shared" si="36"/>
        <v>0</v>
      </c>
    </row>
    <row r="156" spans="1:7" x14ac:dyDescent="0.25">
      <c r="A156" t="s">
        <v>611</v>
      </c>
      <c r="B156" s="397">
        <f>$C$75</f>
        <v>0</v>
      </c>
      <c r="C156" s="397">
        <f t="shared" ref="C156:D156" si="37">$C$75</f>
        <v>0</v>
      </c>
      <c r="D156" s="397">
        <f t="shared" si="37"/>
        <v>0</v>
      </c>
    </row>
    <row r="157" spans="1:7" x14ac:dyDescent="0.25">
      <c r="B157" s="397">
        <v>5</v>
      </c>
      <c r="C157" s="397">
        <v>5</v>
      </c>
      <c r="D157" s="397">
        <v>5</v>
      </c>
    </row>
    <row r="158" spans="1:7" x14ac:dyDescent="0.25">
      <c r="A158" t="s">
        <v>811</v>
      </c>
      <c r="B158" s="397">
        <f>$H$91</f>
        <v>0</v>
      </c>
      <c r="C158" s="397">
        <f>$H$92</f>
        <v>0</v>
      </c>
      <c r="D158" s="397">
        <v>0</v>
      </c>
    </row>
    <row r="159" spans="1:7" x14ac:dyDescent="0.25">
      <c r="A159" t="s">
        <v>812</v>
      </c>
    </row>
    <row r="160" spans="1:7" x14ac:dyDescent="0.25">
      <c r="G160" t="s">
        <v>807</v>
      </c>
    </row>
    <row r="161" spans="1:7" x14ac:dyDescent="0.25">
      <c r="A161" s="3"/>
      <c r="B161" s="397"/>
      <c r="C161" s="397"/>
      <c r="D161" s="397"/>
      <c r="E161" s="397"/>
      <c r="F161" s="397"/>
      <c r="G161" s="397">
        <f>$C$75</f>
        <v>0</v>
      </c>
    </row>
    <row r="162" spans="1:7" x14ac:dyDescent="0.25">
      <c r="A162" s="3"/>
      <c r="B162" s="397"/>
      <c r="C162" s="397"/>
      <c r="D162" s="3"/>
      <c r="E162" s="397"/>
      <c r="F162" s="397"/>
      <c r="G162" s="397">
        <f>$C$75</f>
        <v>0</v>
      </c>
    </row>
    <row r="163" spans="1:7" x14ac:dyDescent="0.25">
      <c r="A163" s="3"/>
      <c r="B163" s="397"/>
      <c r="C163" s="397"/>
      <c r="D163" s="3"/>
      <c r="E163" s="397"/>
      <c r="F163" s="397"/>
      <c r="G163" s="397">
        <f>$C$75</f>
        <v>0</v>
      </c>
    </row>
  </sheetData>
  <mergeCells count="40">
    <mergeCell ref="F124:H126"/>
    <mergeCell ref="A128:B128"/>
    <mergeCell ref="C128:D128"/>
    <mergeCell ref="A125:B125"/>
    <mergeCell ref="C125:D125"/>
    <mergeCell ref="A126:B126"/>
    <mergeCell ref="C126:D126"/>
    <mergeCell ref="A127:B127"/>
    <mergeCell ref="C127:D127"/>
    <mergeCell ref="A122:B122"/>
    <mergeCell ref="C122:D122"/>
    <mergeCell ref="A123:B123"/>
    <mergeCell ref="C123:D123"/>
    <mergeCell ref="A124:B124"/>
    <mergeCell ref="C124:D124"/>
    <mergeCell ref="A119:B119"/>
    <mergeCell ref="C119:D119"/>
    <mergeCell ref="A120:B120"/>
    <mergeCell ref="C120:D120"/>
    <mergeCell ref="A121:B121"/>
    <mergeCell ref="C121:D121"/>
    <mergeCell ref="A115:B115"/>
    <mergeCell ref="C115:D115"/>
    <mergeCell ref="B7:D7"/>
    <mergeCell ref="B8:D8"/>
    <mergeCell ref="B9:D9"/>
    <mergeCell ref="B107:C109"/>
    <mergeCell ref="A88:B88"/>
    <mergeCell ref="A75:B75"/>
    <mergeCell ref="A79:B79"/>
    <mergeCell ref="A80:B80"/>
    <mergeCell ref="A84:B84"/>
    <mergeCell ref="A86:B86"/>
    <mergeCell ref="A92:B92"/>
    <mergeCell ref="E107:F109"/>
    <mergeCell ref="B110:C110"/>
    <mergeCell ref="E110:F110"/>
    <mergeCell ref="C112:D113"/>
    <mergeCell ref="A114:B114"/>
    <mergeCell ref="C114:D11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47B91-463F-4CD2-9D78-456E6E66D4D0}">
  <dimension ref="A1:L85"/>
  <sheetViews>
    <sheetView topLeftCell="A43" workbookViewId="0"/>
  </sheetViews>
  <sheetFormatPr baseColWidth="10" defaultRowHeight="15" x14ac:dyDescent="0.25"/>
  <cols>
    <col min="1" max="1" width="32.140625" customWidth="1"/>
    <col min="2" max="2" width="4.7109375" customWidth="1"/>
    <col min="3" max="3" width="4.85546875" customWidth="1"/>
    <col min="4" max="12" width="4.85546875" bestFit="1" customWidth="1"/>
    <col min="14" max="19" width="11.42578125" customWidth="1"/>
  </cols>
  <sheetData>
    <row r="1" spans="1:12" ht="15.75" x14ac:dyDescent="0.25">
      <c r="A1" s="313"/>
      <c r="B1" s="56"/>
      <c r="C1" s="56"/>
      <c r="D1" s="56"/>
      <c r="E1" s="56"/>
      <c r="F1" s="56"/>
      <c r="G1" s="56"/>
      <c r="H1" s="56"/>
      <c r="I1" s="56"/>
      <c r="J1" s="56"/>
      <c r="K1" s="56"/>
      <c r="L1" s="57"/>
    </row>
    <row r="2" spans="1:12" ht="38.25" customHeight="1" x14ac:dyDescent="0.25">
      <c r="A2" s="502" t="s">
        <v>774</v>
      </c>
      <c r="B2" s="503"/>
      <c r="C2" s="503"/>
      <c r="D2" s="503"/>
      <c r="E2" s="503"/>
      <c r="F2" s="503"/>
      <c r="G2" s="503"/>
      <c r="H2" s="503"/>
      <c r="I2" s="503"/>
      <c r="J2" s="503"/>
      <c r="K2" s="503"/>
      <c r="L2" s="504"/>
    </row>
    <row r="3" spans="1:12" x14ac:dyDescent="0.25">
      <c r="A3" s="314"/>
      <c r="L3" s="58"/>
    </row>
    <row r="4" spans="1:12" ht="15.75" thickBot="1" x14ac:dyDescent="0.3">
      <c r="A4" s="315"/>
      <c r="B4" s="316"/>
      <c r="C4" s="316"/>
      <c r="D4" s="316"/>
      <c r="E4" s="316"/>
      <c r="F4" s="316"/>
      <c r="G4" s="316"/>
      <c r="H4" s="316"/>
      <c r="I4" s="316"/>
      <c r="J4" s="316"/>
      <c r="K4" s="316"/>
      <c r="L4" s="317"/>
    </row>
    <row r="6" spans="1:12" ht="15.75" thickBot="1" x14ac:dyDescent="0.3"/>
    <row r="7" spans="1:12" x14ac:dyDescent="0.25">
      <c r="A7" s="505" t="s">
        <v>775</v>
      </c>
      <c r="B7" s="506"/>
      <c r="C7" s="506"/>
      <c r="D7" s="506"/>
      <c r="E7" s="506"/>
      <c r="F7" s="506"/>
      <c r="G7" s="506"/>
      <c r="H7" s="507"/>
      <c r="I7" s="507"/>
      <c r="J7" s="507"/>
      <c r="K7" s="507"/>
      <c r="L7" s="508"/>
    </row>
    <row r="8" spans="1:12" x14ac:dyDescent="0.25">
      <c r="A8" s="509"/>
      <c r="B8" s="426"/>
      <c r="C8" s="426"/>
      <c r="D8" s="426"/>
      <c r="E8" s="426"/>
      <c r="F8" s="426"/>
      <c r="G8" s="426"/>
      <c r="H8" s="440"/>
      <c r="I8" s="440"/>
      <c r="J8" s="440"/>
      <c r="K8" s="440"/>
      <c r="L8" s="510"/>
    </row>
    <row r="9" spans="1:12" x14ac:dyDescent="0.25">
      <c r="A9" s="509"/>
      <c r="B9" s="426"/>
      <c r="C9" s="426"/>
      <c r="D9" s="426"/>
      <c r="E9" s="426"/>
      <c r="F9" s="426"/>
      <c r="G9" s="426"/>
      <c r="H9" s="440"/>
      <c r="I9" s="440"/>
      <c r="J9" s="440"/>
      <c r="K9" s="440"/>
      <c r="L9" s="510"/>
    </row>
    <row r="10" spans="1:12" x14ac:dyDescent="0.25">
      <c r="A10" s="509"/>
      <c r="B10" s="426"/>
      <c r="C10" s="426"/>
      <c r="D10" s="426"/>
      <c r="E10" s="426"/>
      <c r="F10" s="426"/>
      <c r="G10" s="426"/>
      <c r="H10" s="440"/>
      <c r="I10" s="440"/>
      <c r="J10" s="440"/>
      <c r="K10" s="440"/>
      <c r="L10" s="510"/>
    </row>
    <row r="11" spans="1:12" x14ac:dyDescent="0.25">
      <c r="A11" s="509"/>
      <c r="B11" s="426"/>
      <c r="C11" s="426"/>
      <c r="D11" s="426"/>
      <c r="E11" s="426"/>
      <c r="F11" s="426"/>
      <c r="G11" s="426"/>
      <c r="H11" s="440"/>
      <c r="I11" s="440"/>
      <c r="J11" s="440"/>
      <c r="K11" s="440"/>
      <c r="L11" s="510"/>
    </row>
    <row r="12" spans="1:12" x14ac:dyDescent="0.25">
      <c r="A12" s="509"/>
      <c r="B12" s="426"/>
      <c r="C12" s="426"/>
      <c r="D12" s="426"/>
      <c r="E12" s="426"/>
      <c r="F12" s="426"/>
      <c r="G12" s="426"/>
      <c r="H12" s="440"/>
      <c r="I12" s="440"/>
      <c r="J12" s="440"/>
      <c r="K12" s="440"/>
      <c r="L12" s="510"/>
    </row>
    <row r="13" spans="1:12" ht="15.75" thickBot="1" x14ac:dyDescent="0.3">
      <c r="A13" s="511"/>
      <c r="B13" s="512"/>
      <c r="C13" s="512"/>
      <c r="D13" s="512"/>
      <c r="E13" s="512"/>
      <c r="F13" s="512"/>
      <c r="G13" s="512"/>
      <c r="H13" s="513"/>
      <c r="I13" s="513"/>
      <c r="J13" s="513"/>
      <c r="K13" s="513"/>
      <c r="L13" s="514"/>
    </row>
    <row r="15" spans="1:12" ht="15.75" x14ac:dyDescent="0.25">
      <c r="A15" s="318" t="s">
        <v>776</v>
      </c>
    </row>
    <row r="16" spans="1:12" ht="15.75" thickBot="1" x14ac:dyDescent="0.3"/>
    <row r="17" spans="1:12" x14ac:dyDescent="0.25">
      <c r="A17" s="319" t="s">
        <v>777</v>
      </c>
      <c r="B17" s="498">
        <v>0.8</v>
      </c>
      <c r="C17" s="499"/>
      <c r="D17" s="499"/>
      <c r="E17" s="500"/>
      <c r="F17" s="501">
        <v>1</v>
      </c>
      <c r="G17" s="499"/>
      <c r="H17" s="499"/>
      <c r="I17" s="500"/>
      <c r="J17" s="501">
        <v>1.2</v>
      </c>
      <c r="K17" s="499"/>
      <c r="L17" s="500"/>
    </row>
    <row r="18" spans="1:12" ht="15.75" thickBot="1" x14ac:dyDescent="0.3">
      <c r="A18" s="320" t="s">
        <v>778</v>
      </c>
      <c r="B18" s="321">
        <v>2.2000000000000002</v>
      </c>
      <c r="C18" s="322">
        <v>2.4</v>
      </c>
      <c r="D18" s="322">
        <v>2.6</v>
      </c>
      <c r="E18" s="323">
        <v>2.8</v>
      </c>
      <c r="F18" s="324">
        <v>2.2000000000000002</v>
      </c>
      <c r="G18" s="322">
        <v>2.4</v>
      </c>
      <c r="H18" s="322">
        <v>2.6</v>
      </c>
      <c r="I18" s="323">
        <v>2.8</v>
      </c>
      <c r="J18" s="324">
        <v>2.2000000000000002</v>
      </c>
      <c r="K18" s="322">
        <v>2.4</v>
      </c>
      <c r="L18" s="323">
        <v>2.6</v>
      </c>
    </row>
    <row r="19" spans="1:12" x14ac:dyDescent="0.25">
      <c r="A19" s="325" t="s">
        <v>779</v>
      </c>
      <c r="B19" s="326">
        <v>70</v>
      </c>
      <c r="C19" s="327">
        <v>66</v>
      </c>
      <c r="D19" s="327">
        <v>62</v>
      </c>
      <c r="E19" s="328">
        <v>58</v>
      </c>
      <c r="F19" s="329">
        <v>47</v>
      </c>
      <c r="G19" s="327">
        <v>45</v>
      </c>
      <c r="H19" s="327">
        <v>43</v>
      </c>
      <c r="I19" s="328">
        <v>38</v>
      </c>
      <c r="J19" s="329">
        <v>36</v>
      </c>
      <c r="K19" s="327">
        <v>33</v>
      </c>
      <c r="L19" s="328">
        <v>31</v>
      </c>
    </row>
    <row r="20" spans="1:12" x14ac:dyDescent="0.25">
      <c r="A20" s="330" t="s">
        <v>780</v>
      </c>
      <c r="B20" s="331">
        <v>55</v>
      </c>
      <c r="C20" s="332">
        <v>59</v>
      </c>
      <c r="D20" s="332">
        <v>63</v>
      </c>
      <c r="E20" s="333">
        <v>67</v>
      </c>
      <c r="F20" s="334">
        <v>53</v>
      </c>
      <c r="G20" s="332">
        <v>55</v>
      </c>
      <c r="H20" s="332">
        <v>57</v>
      </c>
      <c r="I20" s="333">
        <v>62</v>
      </c>
      <c r="J20" s="334">
        <v>47</v>
      </c>
      <c r="K20" s="332">
        <v>50</v>
      </c>
      <c r="L20" s="333">
        <v>52</v>
      </c>
    </row>
    <row r="21" spans="1:12" x14ac:dyDescent="0.25">
      <c r="A21" s="335" t="s">
        <v>781</v>
      </c>
      <c r="B21" s="336">
        <v>0.44</v>
      </c>
      <c r="C21" s="337">
        <v>0.47</v>
      </c>
      <c r="D21" s="337">
        <v>0.5</v>
      </c>
      <c r="E21" s="338">
        <v>0.54</v>
      </c>
      <c r="F21" s="339">
        <v>0.53</v>
      </c>
      <c r="G21" s="337">
        <v>0.55000000000000004</v>
      </c>
      <c r="H21" s="337">
        <v>0.56999999999999995</v>
      </c>
      <c r="I21" s="338">
        <v>0.62</v>
      </c>
      <c r="J21" s="339">
        <v>0.56999999999999995</v>
      </c>
      <c r="K21" s="337">
        <v>0.6</v>
      </c>
      <c r="L21" s="338">
        <v>0.63</v>
      </c>
    </row>
    <row r="22" spans="1:12" x14ac:dyDescent="0.25">
      <c r="A22" s="335" t="s">
        <v>782</v>
      </c>
      <c r="B22" s="340">
        <v>0.18</v>
      </c>
      <c r="C22" s="341">
        <v>0.25</v>
      </c>
      <c r="D22" s="341">
        <v>0.27</v>
      </c>
      <c r="E22" s="342">
        <v>0.28000000000000003</v>
      </c>
      <c r="F22" s="343">
        <v>0.19</v>
      </c>
      <c r="G22" s="341">
        <v>0.25</v>
      </c>
      <c r="H22" s="341">
        <v>0.35</v>
      </c>
      <c r="I22" s="342">
        <v>0.36</v>
      </c>
      <c r="J22" s="343">
        <v>0.32</v>
      </c>
      <c r="K22" s="341">
        <v>0.4</v>
      </c>
      <c r="L22" s="342">
        <v>0.46</v>
      </c>
    </row>
    <row r="23" spans="1:12" x14ac:dyDescent="0.25">
      <c r="A23" s="344" t="s">
        <v>783</v>
      </c>
      <c r="B23" s="345">
        <v>3.4</v>
      </c>
      <c r="C23" s="346">
        <v>3.4</v>
      </c>
      <c r="D23" s="346">
        <v>3.6</v>
      </c>
      <c r="E23" s="347">
        <v>3.6</v>
      </c>
      <c r="F23" s="348">
        <v>3.6</v>
      </c>
      <c r="G23" s="346">
        <v>3.8</v>
      </c>
      <c r="H23" s="346">
        <v>3.8</v>
      </c>
      <c r="I23" s="347">
        <v>3.8</v>
      </c>
      <c r="J23" s="348">
        <v>4</v>
      </c>
      <c r="K23" s="346">
        <v>4</v>
      </c>
      <c r="L23" s="347">
        <v>4</v>
      </c>
    </row>
    <row r="24" spans="1:12" x14ac:dyDescent="0.25">
      <c r="A24" s="349" t="s">
        <v>784</v>
      </c>
      <c r="B24" s="345">
        <v>2</v>
      </c>
      <c r="C24" s="346">
        <v>2</v>
      </c>
      <c r="D24" s="346">
        <v>2</v>
      </c>
      <c r="E24" s="347">
        <v>2</v>
      </c>
      <c r="F24" s="348">
        <v>2</v>
      </c>
      <c r="G24" s="346">
        <v>2</v>
      </c>
      <c r="H24" s="346">
        <v>2</v>
      </c>
      <c r="I24" s="347">
        <v>2</v>
      </c>
      <c r="J24" s="348">
        <v>2</v>
      </c>
      <c r="K24" s="346">
        <v>2</v>
      </c>
      <c r="L24" s="347">
        <v>2</v>
      </c>
    </row>
    <row r="25" spans="1:12" ht="15.75" thickBot="1" x14ac:dyDescent="0.3">
      <c r="A25" s="350" t="s">
        <v>785</v>
      </c>
      <c r="B25" s="351">
        <v>12</v>
      </c>
      <c r="C25" s="352">
        <v>14</v>
      </c>
      <c r="D25" s="352">
        <v>16</v>
      </c>
      <c r="E25" s="353">
        <v>18</v>
      </c>
      <c r="F25" s="354">
        <v>15</v>
      </c>
      <c r="G25" s="352">
        <v>17</v>
      </c>
      <c r="H25" s="352">
        <v>19</v>
      </c>
      <c r="I25" s="353">
        <v>21</v>
      </c>
      <c r="J25" s="354">
        <v>27</v>
      </c>
      <c r="K25" s="352">
        <v>29</v>
      </c>
      <c r="L25" s="353">
        <v>31</v>
      </c>
    </row>
    <row r="27" spans="1:12" ht="15.75" x14ac:dyDescent="0.25">
      <c r="A27" s="318" t="s">
        <v>786</v>
      </c>
    </row>
    <row r="28" spans="1:12" ht="15.75" thickBot="1" x14ac:dyDescent="0.3"/>
    <row r="29" spans="1:12" x14ac:dyDescent="0.25">
      <c r="A29" s="319" t="s">
        <v>777</v>
      </c>
      <c r="B29" s="498">
        <v>0.8</v>
      </c>
      <c r="C29" s="499"/>
      <c r="D29" s="499"/>
      <c r="E29" s="500"/>
      <c r="F29" s="501">
        <v>1</v>
      </c>
      <c r="G29" s="499"/>
      <c r="H29" s="499"/>
      <c r="I29" s="500"/>
      <c r="J29" s="501">
        <v>1.2</v>
      </c>
      <c r="K29" s="499"/>
      <c r="L29" s="500"/>
    </row>
    <row r="30" spans="1:12" ht="15.75" thickBot="1" x14ac:dyDescent="0.3">
      <c r="A30" s="320" t="s">
        <v>778</v>
      </c>
      <c r="B30" s="321">
        <v>2.2000000000000002</v>
      </c>
      <c r="C30" s="322">
        <v>2.6</v>
      </c>
      <c r="D30" s="322">
        <v>2.8</v>
      </c>
      <c r="E30" s="323">
        <v>3.2</v>
      </c>
      <c r="F30" s="324">
        <v>2.2000000000000002</v>
      </c>
      <c r="G30" s="322">
        <v>2.4</v>
      </c>
      <c r="H30" s="322">
        <v>2.8</v>
      </c>
      <c r="I30" s="323">
        <v>3.2</v>
      </c>
      <c r="J30" s="324">
        <v>2.2000000000000002</v>
      </c>
      <c r="K30" s="322">
        <v>2.4</v>
      </c>
      <c r="L30" s="323">
        <v>3</v>
      </c>
    </row>
    <row r="31" spans="1:12" x14ac:dyDescent="0.25">
      <c r="A31" s="325" t="s">
        <v>779</v>
      </c>
      <c r="B31" s="326">
        <v>72</v>
      </c>
      <c r="C31" s="327">
        <v>67</v>
      </c>
      <c r="D31" s="327">
        <v>64</v>
      </c>
      <c r="E31" s="328">
        <v>60</v>
      </c>
      <c r="F31" s="329">
        <v>53</v>
      </c>
      <c r="G31" s="327">
        <v>50</v>
      </c>
      <c r="H31" s="327">
        <v>45</v>
      </c>
      <c r="I31" s="328">
        <v>39</v>
      </c>
      <c r="J31" s="329">
        <v>39</v>
      </c>
      <c r="K31" s="327">
        <v>37</v>
      </c>
      <c r="L31" s="328">
        <v>28</v>
      </c>
    </row>
    <row r="32" spans="1:12" x14ac:dyDescent="0.25">
      <c r="A32" s="330" t="s">
        <v>780</v>
      </c>
      <c r="B32" s="331">
        <v>53</v>
      </c>
      <c r="C32" s="332">
        <v>58</v>
      </c>
      <c r="D32" s="332">
        <v>61</v>
      </c>
      <c r="E32" s="333">
        <v>65</v>
      </c>
      <c r="F32" s="334">
        <v>47</v>
      </c>
      <c r="G32" s="332">
        <v>50</v>
      </c>
      <c r="H32" s="332">
        <v>55</v>
      </c>
      <c r="I32" s="333">
        <v>61</v>
      </c>
      <c r="J32" s="334">
        <v>44</v>
      </c>
      <c r="K32" s="332">
        <v>46</v>
      </c>
      <c r="L32" s="333">
        <v>55</v>
      </c>
    </row>
    <row r="33" spans="1:12" x14ac:dyDescent="0.25">
      <c r="A33" s="335" t="s">
        <v>781</v>
      </c>
      <c r="B33" s="336">
        <v>0.42</v>
      </c>
      <c r="C33" s="337">
        <v>0.46</v>
      </c>
      <c r="D33" s="337">
        <v>0.49</v>
      </c>
      <c r="E33" s="338">
        <v>0.52</v>
      </c>
      <c r="F33" s="339">
        <v>0.47</v>
      </c>
      <c r="G33" s="337">
        <v>0.5</v>
      </c>
      <c r="H33" s="337">
        <v>0.55000000000000004</v>
      </c>
      <c r="I33" s="338">
        <v>0.61</v>
      </c>
      <c r="J33" s="339">
        <v>0.53</v>
      </c>
      <c r="K33" s="337">
        <v>0.55000000000000004</v>
      </c>
      <c r="L33" s="338">
        <v>0.66</v>
      </c>
    </row>
    <row r="34" spans="1:12" x14ac:dyDescent="0.25">
      <c r="A34" s="335" t="s">
        <v>782</v>
      </c>
      <c r="B34" s="340">
        <v>0.17</v>
      </c>
      <c r="C34" s="341">
        <v>0.28000000000000003</v>
      </c>
      <c r="D34" s="341">
        <v>0.31</v>
      </c>
      <c r="E34" s="342">
        <v>0.48</v>
      </c>
      <c r="F34" s="343">
        <v>0.38</v>
      </c>
      <c r="G34" s="341">
        <v>0.44</v>
      </c>
      <c r="H34" s="341">
        <v>0.55000000000000004</v>
      </c>
      <c r="I34" s="342">
        <v>0.59</v>
      </c>
      <c r="J34" s="343">
        <v>0.5</v>
      </c>
      <c r="K34" s="341">
        <v>0.56999999999999995</v>
      </c>
      <c r="L34" s="342">
        <v>0.64</v>
      </c>
    </row>
    <row r="35" spans="1:12" x14ac:dyDescent="0.25">
      <c r="A35" s="344" t="s">
        <v>787</v>
      </c>
      <c r="B35" s="355">
        <v>3.5</v>
      </c>
      <c r="C35" s="356">
        <v>3.6</v>
      </c>
      <c r="D35" s="356">
        <v>3.6</v>
      </c>
      <c r="E35" s="357">
        <v>3.6</v>
      </c>
      <c r="F35" s="358">
        <v>3.6</v>
      </c>
      <c r="G35" s="356">
        <v>3.6</v>
      </c>
      <c r="H35" s="356">
        <v>3.6</v>
      </c>
      <c r="I35" s="357">
        <v>3.6</v>
      </c>
      <c r="J35" s="358">
        <v>3.6</v>
      </c>
      <c r="K35" s="356">
        <v>3.6</v>
      </c>
      <c r="L35" s="357">
        <v>3.7</v>
      </c>
    </row>
    <row r="36" spans="1:12" x14ac:dyDescent="0.25">
      <c r="A36" s="344" t="s">
        <v>783</v>
      </c>
      <c r="B36" s="355">
        <v>4</v>
      </c>
      <c r="C36" s="356">
        <v>4</v>
      </c>
      <c r="D36" s="356">
        <v>4</v>
      </c>
      <c r="E36" s="357">
        <v>4</v>
      </c>
      <c r="F36" s="358">
        <v>4</v>
      </c>
      <c r="G36" s="356">
        <v>4</v>
      </c>
      <c r="H36" s="356">
        <v>4</v>
      </c>
      <c r="I36" s="357">
        <v>4</v>
      </c>
      <c r="J36" s="358">
        <v>4</v>
      </c>
      <c r="K36" s="356">
        <v>4</v>
      </c>
      <c r="L36" s="357">
        <v>4</v>
      </c>
    </row>
    <row r="37" spans="1:12" x14ac:dyDescent="0.25">
      <c r="A37" s="349" t="s">
        <v>788</v>
      </c>
      <c r="B37" s="355">
        <v>2.5</v>
      </c>
      <c r="C37" s="356">
        <v>2.5</v>
      </c>
      <c r="D37" s="356">
        <v>2.5</v>
      </c>
      <c r="E37" s="357">
        <v>2.5</v>
      </c>
      <c r="F37" s="355">
        <v>2.5</v>
      </c>
      <c r="G37" s="356">
        <v>2.5</v>
      </c>
      <c r="H37" s="356">
        <v>2.5</v>
      </c>
      <c r="I37" s="357">
        <v>2.5</v>
      </c>
      <c r="J37" s="355">
        <v>2.5</v>
      </c>
      <c r="K37" s="356">
        <v>2.5</v>
      </c>
      <c r="L37" s="356">
        <v>2.5</v>
      </c>
    </row>
    <row r="38" spans="1:12" ht="15.75" thickBot="1" x14ac:dyDescent="0.3">
      <c r="A38" s="350" t="s">
        <v>785</v>
      </c>
      <c r="B38" s="351">
        <v>20</v>
      </c>
      <c r="C38" s="352">
        <v>25</v>
      </c>
      <c r="D38" s="352">
        <v>27</v>
      </c>
      <c r="E38" s="353">
        <v>30</v>
      </c>
      <c r="F38" s="354">
        <v>41</v>
      </c>
      <c r="G38" s="352">
        <v>45</v>
      </c>
      <c r="H38" s="352">
        <v>48</v>
      </c>
      <c r="I38" s="353">
        <v>50</v>
      </c>
      <c r="J38" s="354">
        <v>53</v>
      </c>
      <c r="K38" s="352">
        <v>55</v>
      </c>
      <c r="L38" s="353">
        <v>61</v>
      </c>
    </row>
    <row r="42" spans="1:12" ht="15.75" x14ac:dyDescent="0.25">
      <c r="A42" s="318" t="s">
        <v>789</v>
      </c>
    </row>
    <row r="43" spans="1:12" ht="15.75" thickBot="1" x14ac:dyDescent="0.3"/>
    <row r="44" spans="1:12" ht="15.75" thickBot="1" x14ac:dyDescent="0.3">
      <c r="A44" s="319" t="s">
        <v>777</v>
      </c>
      <c r="B44" s="519">
        <v>0.8</v>
      </c>
      <c r="C44" s="520"/>
      <c r="D44" s="521"/>
      <c r="E44" s="519">
        <v>1</v>
      </c>
      <c r="F44" s="520"/>
      <c r="G44" s="521"/>
      <c r="H44" s="359">
        <v>1.2</v>
      </c>
      <c r="I44" s="360"/>
      <c r="J44" s="522"/>
      <c r="K44" s="522"/>
      <c r="L44" s="522"/>
    </row>
    <row r="45" spans="1:12" ht="15.75" thickBot="1" x14ac:dyDescent="0.3">
      <c r="A45" s="320" t="s">
        <v>778</v>
      </c>
      <c r="B45" s="361">
        <v>2</v>
      </c>
      <c r="C45" s="362">
        <v>2.2999999999999998</v>
      </c>
      <c r="D45" s="362">
        <v>2.5</v>
      </c>
      <c r="E45" s="361">
        <v>2</v>
      </c>
      <c r="F45" s="362">
        <v>2.2999999999999998</v>
      </c>
      <c r="G45" s="363">
        <v>2.5</v>
      </c>
      <c r="H45" s="364">
        <v>2.2999999999999998</v>
      </c>
      <c r="I45" s="365"/>
      <c r="J45" s="365"/>
      <c r="K45" s="365"/>
      <c r="L45" s="365"/>
    </row>
    <row r="46" spans="1:12" x14ac:dyDescent="0.25">
      <c r="A46" s="325" t="s">
        <v>779</v>
      </c>
      <c r="B46" s="326">
        <v>75</v>
      </c>
      <c r="C46" s="327">
        <v>70</v>
      </c>
      <c r="D46" s="327">
        <v>65</v>
      </c>
      <c r="E46" s="328">
        <v>50</v>
      </c>
      <c r="F46" s="329">
        <v>45</v>
      </c>
      <c r="G46" s="327">
        <v>35</v>
      </c>
      <c r="H46" s="327">
        <v>40</v>
      </c>
      <c r="I46" s="365"/>
      <c r="J46" s="365"/>
      <c r="K46" s="365"/>
      <c r="L46" s="365"/>
    </row>
    <row r="47" spans="1:12" x14ac:dyDescent="0.25">
      <c r="A47" s="330" t="s">
        <v>780</v>
      </c>
      <c r="B47" s="331">
        <v>50</v>
      </c>
      <c r="C47" s="332">
        <v>55</v>
      </c>
      <c r="D47" s="332">
        <v>60</v>
      </c>
      <c r="E47" s="333">
        <v>50</v>
      </c>
      <c r="F47" s="334">
        <v>55</v>
      </c>
      <c r="G47" s="332">
        <v>65</v>
      </c>
      <c r="H47" s="332">
        <v>45</v>
      </c>
      <c r="I47" s="365"/>
      <c r="J47" s="365"/>
      <c r="K47" s="365"/>
      <c r="L47" s="365"/>
    </row>
    <row r="48" spans="1:12" x14ac:dyDescent="0.25">
      <c r="A48" s="335" t="s">
        <v>781</v>
      </c>
      <c r="B48" s="339">
        <v>0.4</v>
      </c>
      <c r="C48" s="337">
        <v>0.44</v>
      </c>
      <c r="D48" s="337">
        <v>0.46</v>
      </c>
      <c r="E48" s="339">
        <v>0.5</v>
      </c>
      <c r="F48" s="337">
        <v>0.55000000000000004</v>
      </c>
      <c r="G48" s="366">
        <v>0.65</v>
      </c>
      <c r="H48" s="367">
        <v>0.53</v>
      </c>
      <c r="I48" s="368"/>
      <c r="J48" s="368"/>
      <c r="K48" s="368"/>
      <c r="L48" s="365"/>
    </row>
    <row r="49" spans="1:12" x14ac:dyDescent="0.25">
      <c r="A49" s="335" t="s">
        <v>782</v>
      </c>
      <c r="B49" s="343">
        <v>0.3</v>
      </c>
      <c r="C49" s="341">
        <v>0.36</v>
      </c>
      <c r="D49" s="341">
        <v>0.37</v>
      </c>
      <c r="E49" s="343">
        <v>0.2</v>
      </c>
      <c r="F49" s="341">
        <v>0.27</v>
      </c>
      <c r="G49" s="369">
        <v>0.31</v>
      </c>
      <c r="H49" s="370">
        <v>0.44</v>
      </c>
      <c r="I49" s="371"/>
      <c r="J49" s="371"/>
      <c r="K49" s="371"/>
      <c r="L49" s="365"/>
    </row>
    <row r="50" spans="1:12" x14ac:dyDescent="0.25">
      <c r="A50" s="344" t="s">
        <v>790</v>
      </c>
      <c r="B50" s="355">
        <v>3.5</v>
      </c>
      <c r="C50" s="356">
        <v>3.5</v>
      </c>
      <c r="D50" s="356">
        <v>3.6</v>
      </c>
      <c r="E50" s="357">
        <v>3.6</v>
      </c>
      <c r="F50" s="358">
        <v>3.6</v>
      </c>
      <c r="G50" s="356">
        <v>3.8</v>
      </c>
      <c r="H50" s="356">
        <v>4</v>
      </c>
      <c r="I50" s="371"/>
      <c r="J50" s="371"/>
      <c r="K50" s="371"/>
      <c r="L50" s="365"/>
    </row>
    <row r="51" spans="1:12" x14ac:dyDescent="0.25">
      <c r="A51" s="344" t="s">
        <v>791</v>
      </c>
      <c r="B51" s="355">
        <v>2.2000000000000002</v>
      </c>
      <c r="C51" s="356">
        <v>2.2000000000000002</v>
      </c>
      <c r="D51" s="356">
        <v>2.2000000000000002</v>
      </c>
      <c r="E51" s="357">
        <v>2.2000000000000002</v>
      </c>
      <c r="F51" s="358">
        <v>2.2000000000000002</v>
      </c>
      <c r="G51" s="356">
        <v>2.2000000000000002</v>
      </c>
      <c r="H51" s="356">
        <v>2.5</v>
      </c>
      <c r="I51" s="371"/>
      <c r="J51" s="371"/>
      <c r="K51" s="371"/>
      <c r="L51" s="365"/>
    </row>
    <row r="52" spans="1:12" ht="15.75" thickBot="1" x14ac:dyDescent="0.3">
      <c r="A52" s="350" t="s">
        <v>785</v>
      </c>
      <c r="B52" s="354">
        <v>14</v>
      </c>
      <c r="C52" s="352">
        <v>17</v>
      </c>
      <c r="D52" s="352">
        <v>23</v>
      </c>
      <c r="E52" s="354">
        <v>19</v>
      </c>
      <c r="F52" s="352">
        <v>23</v>
      </c>
      <c r="G52" s="372">
        <v>26</v>
      </c>
      <c r="H52" s="350">
        <v>39</v>
      </c>
      <c r="I52" s="365"/>
      <c r="J52" s="365"/>
      <c r="K52" s="365"/>
      <c r="L52" s="365"/>
    </row>
    <row r="53" spans="1:12" x14ac:dyDescent="0.25">
      <c r="A53" s="373" t="s">
        <v>792</v>
      </c>
    </row>
    <row r="55" spans="1:12" ht="15.75" x14ac:dyDescent="0.25">
      <c r="A55" s="318" t="s">
        <v>793</v>
      </c>
    </row>
    <row r="56" spans="1:12" ht="15.75" thickBot="1" x14ac:dyDescent="0.3"/>
    <row r="57" spans="1:12" x14ac:dyDescent="0.25">
      <c r="A57" s="374" t="s">
        <v>777</v>
      </c>
      <c r="B57" s="523">
        <v>0.8</v>
      </c>
      <c r="C57" s="524"/>
      <c r="D57" s="523">
        <v>1</v>
      </c>
      <c r="E57" s="524"/>
      <c r="F57" s="525">
        <v>1.2</v>
      </c>
      <c r="G57" s="526"/>
    </row>
    <row r="58" spans="1:12" ht="15.75" thickBot="1" x14ac:dyDescent="0.3">
      <c r="A58" s="375" t="s">
        <v>778</v>
      </c>
      <c r="B58" s="376">
        <v>2.2999999999999998</v>
      </c>
      <c r="C58" s="377">
        <v>2.6</v>
      </c>
      <c r="D58" s="376">
        <v>2.2999999999999998</v>
      </c>
      <c r="E58" s="377">
        <v>2.6</v>
      </c>
      <c r="F58" s="376">
        <v>2.2999999999999998</v>
      </c>
      <c r="G58" s="377">
        <v>2.9</v>
      </c>
    </row>
    <row r="59" spans="1:12" x14ac:dyDescent="0.25">
      <c r="A59" s="325" t="s">
        <v>779</v>
      </c>
      <c r="B59" s="326">
        <v>60</v>
      </c>
      <c r="C59" s="327">
        <v>65</v>
      </c>
      <c r="D59" s="327">
        <v>42</v>
      </c>
      <c r="E59" s="328">
        <v>40</v>
      </c>
      <c r="F59" s="329">
        <v>30</v>
      </c>
      <c r="G59" s="327">
        <v>25</v>
      </c>
    </row>
    <row r="60" spans="1:12" x14ac:dyDescent="0.25">
      <c r="A60" s="330" t="s">
        <v>780</v>
      </c>
      <c r="B60" s="331">
        <v>63</v>
      </c>
      <c r="C60" s="332">
        <v>60</v>
      </c>
      <c r="D60" s="332">
        <v>58</v>
      </c>
      <c r="E60" s="333">
        <v>62</v>
      </c>
      <c r="F60" s="334">
        <v>53</v>
      </c>
      <c r="G60" s="332">
        <v>58</v>
      </c>
    </row>
    <row r="61" spans="1:12" x14ac:dyDescent="0.25">
      <c r="A61" s="335" t="s">
        <v>781</v>
      </c>
      <c r="B61" s="339">
        <v>0.51</v>
      </c>
      <c r="C61" s="338">
        <v>0.5</v>
      </c>
      <c r="D61" s="339">
        <v>0.57999999999999996</v>
      </c>
      <c r="E61" s="338">
        <v>0.61</v>
      </c>
      <c r="F61" s="339">
        <v>0.65</v>
      </c>
      <c r="G61" s="338">
        <v>0.7</v>
      </c>
    </row>
    <row r="62" spans="1:12" x14ac:dyDescent="0.25">
      <c r="A62" s="335" t="s">
        <v>782</v>
      </c>
      <c r="B62" s="339">
        <v>0.08</v>
      </c>
      <c r="C62" s="338">
        <v>0.4</v>
      </c>
      <c r="D62" s="339">
        <v>0.17</v>
      </c>
      <c r="E62" s="338">
        <v>0.32</v>
      </c>
      <c r="F62" s="339">
        <v>0.35</v>
      </c>
      <c r="G62" s="338">
        <v>0.6</v>
      </c>
    </row>
    <row r="63" spans="1:12" x14ac:dyDescent="0.25">
      <c r="A63" s="344" t="s">
        <v>787</v>
      </c>
      <c r="B63" s="378">
        <v>3.4</v>
      </c>
      <c r="C63" s="379">
        <v>3.4</v>
      </c>
      <c r="D63" s="379">
        <v>3.7</v>
      </c>
      <c r="E63" s="380">
        <v>3.7</v>
      </c>
      <c r="F63" s="381">
        <v>3.8</v>
      </c>
      <c r="G63" s="379">
        <v>3.8</v>
      </c>
    </row>
    <row r="64" spans="1:12" x14ac:dyDescent="0.25">
      <c r="A64" s="344" t="s">
        <v>783</v>
      </c>
      <c r="B64" s="378">
        <v>3.7</v>
      </c>
      <c r="C64" s="379">
        <v>3.7</v>
      </c>
      <c r="D64" s="379">
        <v>3.8</v>
      </c>
      <c r="E64" s="380">
        <v>3.8</v>
      </c>
      <c r="F64" s="381">
        <v>4</v>
      </c>
      <c r="G64" s="379">
        <v>4</v>
      </c>
    </row>
    <row r="65" spans="1:12" x14ac:dyDescent="0.25">
      <c r="A65" s="344" t="s">
        <v>788</v>
      </c>
      <c r="B65" s="378">
        <v>1.5</v>
      </c>
      <c r="C65" s="379">
        <v>1.5</v>
      </c>
      <c r="D65" s="379">
        <v>1.5</v>
      </c>
      <c r="E65" s="380">
        <v>1.5</v>
      </c>
      <c r="F65" s="381">
        <v>1.9</v>
      </c>
      <c r="G65" s="379">
        <v>1.9</v>
      </c>
    </row>
    <row r="66" spans="1:12" ht="15.75" thickBot="1" x14ac:dyDescent="0.3">
      <c r="A66" s="350" t="s">
        <v>785</v>
      </c>
      <c r="B66" s="354">
        <v>25</v>
      </c>
      <c r="C66" s="353">
        <v>30</v>
      </c>
      <c r="D66" s="354">
        <v>32</v>
      </c>
      <c r="E66" s="353">
        <v>39</v>
      </c>
      <c r="F66" s="354">
        <v>55</v>
      </c>
      <c r="G66" s="353">
        <v>91</v>
      </c>
    </row>
    <row r="68" spans="1:12" ht="15.75" x14ac:dyDescent="0.25">
      <c r="A68" s="318" t="s">
        <v>794</v>
      </c>
    </row>
    <row r="69" spans="1:12" x14ac:dyDescent="0.25">
      <c r="A69" s="440" t="s">
        <v>795</v>
      </c>
      <c r="B69" s="441"/>
      <c r="C69" s="441"/>
      <c r="D69" s="441"/>
      <c r="E69" s="441"/>
      <c r="F69" s="441"/>
      <c r="G69" s="441"/>
      <c r="H69" s="441"/>
      <c r="I69" s="441"/>
      <c r="J69" s="441"/>
      <c r="K69" s="441"/>
      <c r="L69" s="441"/>
    </row>
    <row r="70" spans="1:12" x14ac:dyDescent="0.25">
      <c r="A70" s="441"/>
      <c r="B70" s="441"/>
      <c r="C70" s="441"/>
      <c r="D70" s="441"/>
      <c r="E70" s="441"/>
      <c r="F70" s="441"/>
      <c r="G70" s="441"/>
      <c r="H70" s="441"/>
      <c r="I70" s="441"/>
      <c r="J70" s="441"/>
      <c r="K70" s="441"/>
      <c r="L70" s="441"/>
    </row>
    <row r="71" spans="1:12" ht="13.5" customHeight="1" x14ac:dyDescent="0.25">
      <c r="A71" s="441"/>
      <c r="B71" s="441"/>
      <c r="C71" s="441"/>
      <c r="D71" s="441"/>
      <c r="E71" s="441"/>
      <c r="F71" s="441"/>
      <c r="G71" s="441"/>
      <c r="H71" s="441"/>
      <c r="I71" s="441"/>
      <c r="J71" s="441"/>
      <c r="K71" s="441"/>
      <c r="L71" s="441"/>
    </row>
    <row r="72" spans="1:12" ht="13.5" customHeight="1" x14ac:dyDescent="0.25">
      <c r="A72" s="441"/>
      <c r="B72" s="441"/>
      <c r="C72" s="441"/>
      <c r="D72" s="441"/>
      <c r="E72" s="441"/>
      <c r="F72" s="441"/>
      <c r="G72" s="441"/>
      <c r="H72" s="441"/>
      <c r="I72" s="441"/>
      <c r="J72" s="441"/>
      <c r="K72" s="441"/>
      <c r="L72" s="441"/>
    </row>
    <row r="73" spans="1:12" ht="28.5" customHeight="1" thickBot="1" x14ac:dyDescent="0.3">
      <c r="A73" s="441"/>
      <c r="B73" s="441"/>
      <c r="C73" s="441"/>
      <c r="D73" s="441"/>
      <c r="E73" s="441"/>
      <c r="F73" s="441"/>
      <c r="G73" s="441"/>
      <c r="H73" s="441"/>
      <c r="I73" s="441"/>
      <c r="J73" s="441"/>
      <c r="K73" s="441"/>
      <c r="L73" s="441"/>
    </row>
    <row r="74" spans="1:12" x14ac:dyDescent="0.25">
      <c r="A74" s="382" t="s">
        <v>777</v>
      </c>
      <c r="B74" s="515">
        <v>1</v>
      </c>
      <c r="C74" s="516"/>
      <c r="D74" s="516"/>
      <c r="E74" s="517"/>
      <c r="F74" s="515">
        <v>1.2</v>
      </c>
      <c r="G74" s="516"/>
      <c r="H74" s="516"/>
      <c r="I74" s="517"/>
      <c r="J74" s="518"/>
      <c r="K74" s="518"/>
      <c r="L74" s="518"/>
    </row>
    <row r="75" spans="1:12" ht="15.75" thickBot="1" x14ac:dyDescent="0.3">
      <c r="A75" s="383" t="s">
        <v>778</v>
      </c>
      <c r="B75" s="384">
        <v>2.8</v>
      </c>
      <c r="C75" s="385">
        <v>3</v>
      </c>
      <c r="D75" s="385">
        <v>3.2</v>
      </c>
      <c r="E75" s="386">
        <v>3.6</v>
      </c>
      <c r="F75" s="384">
        <v>2.8</v>
      </c>
      <c r="G75" s="385">
        <v>3</v>
      </c>
      <c r="H75" s="385">
        <v>3.2</v>
      </c>
      <c r="I75" s="386">
        <v>3.4</v>
      </c>
    </row>
    <row r="76" spans="1:12" x14ac:dyDescent="0.25">
      <c r="A76" s="387" t="s">
        <v>779</v>
      </c>
      <c r="B76" s="329">
        <v>48</v>
      </c>
      <c r="C76" s="327">
        <v>44</v>
      </c>
      <c r="D76" s="327">
        <v>40</v>
      </c>
      <c r="E76" s="328">
        <v>34</v>
      </c>
      <c r="F76" s="329">
        <v>35</v>
      </c>
      <c r="G76" s="327">
        <v>31</v>
      </c>
      <c r="H76" s="327">
        <v>27</v>
      </c>
      <c r="I76" s="328">
        <v>24</v>
      </c>
    </row>
    <row r="77" spans="1:12" x14ac:dyDescent="0.25">
      <c r="A77" s="388" t="s">
        <v>780</v>
      </c>
      <c r="B77" s="334">
        <v>38</v>
      </c>
      <c r="C77" s="332">
        <v>42</v>
      </c>
      <c r="D77" s="332">
        <v>46</v>
      </c>
      <c r="E77" s="333">
        <v>51</v>
      </c>
      <c r="F77" s="334">
        <v>33</v>
      </c>
      <c r="G77" s="332">
        <v>37</v>
      </c>
      <c r="H77" s="332">
        <v>41</v>
      </c>
      <c r="I77" s="333">
        <v>44</v>
      </c>
    </row>
    <row r="78" spans="1:12" x14ac:dyDescent="0.25">
      <c r="A78" s="389" t="s">
        <v>781</v>
      </c>
      <c r="B78" s="339">
        <v>0.44</v>
      </c>
      <c r="C78" s="337">
        <v>0.49</v>
      </c>
      <c r="D78" s="337">
        <v>0.53</v>
      </c>
      <c r="E78" s="338">
        <v>0.6</v>
      </c>
      <c r="F78" s="339">
        <v>0.49</v>
      </c>
      <c r="G78" s="337">
        <v>0.54</v>
      </c>
      <c r="H78" s="337">
        <v>0.6</v>
      </c>
      <c r="I78" s="338">
        <v>0.65</v>
      </c>
      <c r="J78" s="390"/>
      <c r="K78" s="390"/>
      <c r="L78" s="390"/>
    </row>
    <row r="79" spans="1:12" x14ac:dyDescent="0.25">
      <c r="A79" s="389" t="s">
        <v>782</v>
      </c>
      <c r="B79" s="339">
        <v>0.16</v>
      </c>
      <c r="C79" s="337">
        <v>0.19</v>
      </c>
      <c r="D79" s="337">
        <v>0.24</v>
      </c>
      <c r="E79" s="338">
        <v>0.31</v>
      </c>
      <c r="F79" s="339">
        <v>0.33</v>
      </c>
      <c r="G79" s="337">
        <v>0.35</v>
      </c>
      <c r="H79" s="337">
        <v>0.39</v>
      </c>
      <c r="I79" s="338">
        <v>0.45</v>
      </c>
      <c r="J79" s="390"/>
      <c r="K79" s="390"/>
      <c r="L79" s="390"/>
    </row>
    <row r="80" spans="1:12" x14ac:dyDescent="0.25">
      <c r="A80" s="391" t="s">
        <v>796</v>
      </c>
      <c r="B80" s="392">
        <v>3.8</v>
      </c>
      <c r="C80" s="393">
        <v>3.8</v>
      </c>
      <c r="D80" s="393">
        <v>3.8</v>
      </c>
      <c r="E80" s="394">
        <v>3.8</v>
      </c>
      <c r="F80" s="392">
        <v>3.8</v>
      </c>
      <c r="G80" s="393">
        <v>3.8</v>
      </c>
      <c r="H80" s="393">
        <v>3.8</v>
      </c>
      <c r="I80" s="394">
        <v>3.8</v>
      </c>
      <c r="J80" s="390"/>
      <c r="K80" s="390"/>
      <c r="L80" s="390"/>
    </row>
    <row r="81" spans="1:12" x14ac:dyDescent="0.25">
      <c r="A81" s="391" t="s">
        <v>797</v>
      </c>
      <c r="B81" s="392">
        <v>9</v>
      </c>
      <c r="C81" s="393">
        <v>9</v>
      </c>
      <c r="D81" s="393">
        <v>9</v>
      </c>
      <c r="E81" s="394">
        <v>9</v>
      </c>
      <c r="F81" s="392">
        <v>9</v>
      </c>
      <c r="G81" s="393">
        <v>9</v>
      </c>
      <c r="H81" s="393">
        <v>9</v>
      </c>
      <c r="I81" s="394">
        <v>9</v>
      </c>
      <c r="J81" s="390"/>
      <c r="K81" s="390"/>
      <c r="L81" s="390"/>
    </row>
    <row r="82" spans="1:12" ht="15.75" thickBot="1" x14ac:dyDescent="0.3">
      <c r="A82" s="395" t="s">
        <v>798</v>
      </c>
      <c r="B82" s="354">
        <v>46</v>
      </c>
      <c r="C82" s="352">
        <v>48</v>
      </c>
      <c r="D82" s="352">
        <v>51</v>
      </c>
      <c r="E82" s="353">
        <v>56</v>
      </c>
      <c r="F82" s="354">
        <v>55</v>
      </c>
      <c r="G82" s="352">
        <v>57</v>
      </c>
      <c r="H82" s="352">
        <v>60</v>
      </c>
      <c r="I82" s="353">
        <v>63</v>
      </c>
    </row>
    <row r="85" spans="1:12" x14ac:dyDescent="0.25">
      <c r="A85" s="396" t="s">
        <v>799</v>
      </c>
    </row>
  </sheetData>
  <sheetProtection sheet="1" objects="1" scenarios="1"/>
  <mergeCells count="18">
    <mergeCell ref="A69:L73"/>
    <mergeCell ref="B74:E74"/>
    <mergeCell ref="F74:I74"/>
    <mergeCell ref="J74:L74"/>
    <mergeCell ref="B44:D44"/>
    <mergeCell ref="E44:G44"/>
    <mergeCell ref="J44:L44"/>
    <mergeCell ref="B57:C57"/>
    <mergeCell ref="D57:E57"/>
    <mergeCell ref="F57:G57"/>
    <mergeCell ref="B29:E29"/>
    <mergeCell ref="F29:I29"/>
    <mergeCell ref="J29:L29"/>
    <mergeCell ref="A2:L2"/>
    <mergeCell ref="A7:L13"/>
    <mergeCell ref="B17:E17"/>
    <mergeCell ref="F17:I17"/>
    <mergeCell ref="J17:L1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87AE5-66F6-4E19-ACC4-4AE5194A4FEA}">
  <dimension ref="A6:N135"/>
  <sheetViews>
    <sheetView topLeftCell="A6" workbookViewId="0">
      <selection activeCell="E100" sqref="E100"/>
    </sheetView>
  </sheetViews>
  <sheetFormatPr baseColWidth="10" defaultColWidth="11.140625" defaultRowHeight="15" x14ac:dyDescent="0.25"/>
  <cols>
    <col min="1" max="1" width="21.5703125" customWidth="1"/>
    <col min="2" max="2" width="23.5703125" customWidth="1"/>
    <col min="6" max="6" width="12.7109375" customWidth="1"/>
    <col min="13" max="13" width="16.7109375" customWidth="1"/>
    <col min="14" max="14" width="13.7109375" customWidth="1"/>
  </cols>
  <sheetData>
    <row r="6" spans="1:14" ht="15.75" thickBot="1" x14ac:dyDescent="0.3"/>
    <row r="7" spans="1:14" ht="15.75" thickBot="1" x14ac:dyDescent="0.3">
      <c r="A7" s="18" t="s">
        <v>0</v>
      </c>
      <c r="B7" s="466">
        <f>'FEUILLE SAISIE'!B7</f>
        <v>0</v>
      </c>
      <c r="C7" s="467"/>
      <c r="D7" s="468"/>
    </row>
    <row r="8" spans="1:14" ht="15.75" thickBot="1" x14ac:dyDescent="0.3">
      <c r="A8" s="18" t="s">
        <v>73</v>
      </c>
      <c r="B8" s="466">
        <f>'FEUILLE SAISIE'!B8</f>
        <v>0</v>
      </c>
      <c r="C8" s="467"/>
      <c r="D8" s="468"/>
    </row>
    <row r="9" spans="1:14" ht="15.75" thickBot="1" x14ac:dyDescent="0.3">
      <c r="A9" s="18" t="s">
        <v>74</v>
      </c>
      <c r="B9" s="466">
        <f>'FEUILLE SAISIE'!B9</f>
        <v>0</v>
      </c>
      <c r="C9" s="467"/>
      <c r="D9" s="468"/>
    </row>
    <row r="10" spans="1:14" ht="15.75" thickBot="1" x14ac:dyDescent="0.3">
      <c r="A10" s="18" t="s">
        <v>1</v>
      </c>
      <c r="B10" s="121">
        <f>'FEUILLE SAISIE'!B10</f>
        <v>0</v>
      </c>
    </row>
    <row r="11" spans="1:14" x14ac:dyDescent="0.25">
      <c r="A11" s="18"/>
      <c r="B11" s="111"/>
    </row>
    <row r="12" spans="1:14" ht="18.75" x14ac:dyDescent="0.3">
      <c r="A12" s="19" t="s">
        <v>320</v>
      </c>
      <c r="B12" s="34"/>
    </row>
    <row r="13" spans="1:14" ht="15.75" thickBot="1" x14ac:dyDescent="0.3">
      <c r="A13" s="18"/>
      <c r="B13" s="34"/>
      <c r="M13" s="42" t="s">
        <v>759</v>
      </c>
    </row>
    <row r="14" spans="1:14" ht="15.75" thickBot="1" x14ac:dyDescent="0.3">
      <c r="A14" s="20"/>
      <c r="B14" s="21" t="s">
        <v>7</v>
      </c>
      <c r="C14" s="22"/>
      <c r="D14" s="23"/>
      <c r="E14" s="112"/>
      <c r="F14" s="113"/>
      <c r="G14" s="3"/>
      <c r="H14" s="3"/>
      <c r="I14" s="3"/>
      <c r="J14" s="3"/>
    </row>
    <row r="15" spans="1:14" ht="44.1" customHeight="1" thickBot="1" x14ac:dyDescent="0.3">
      <c r="A15" s="20"/>
      <c r="B15" s="115" t="s">
        <v>2</v>
      </c>
      <c r="C15" s="25" t="s">
        <v>3</v>
      </c>
      <c r="D15" s="116" t="s">
        <v>108</v>
      </c>
      <c r="E15" s="116" t="s">
        <v>110</v>
      </c>
      <c r="F15" s="116" t="s">
        <v>124</v>
      </c>
      <c r="G15" s="116" t="s">
        <v>125</v>
      </c>
      <c r="H15" s="117"/>
      <c r="I15" s="117"/>
      <c r="J15" s="117"/>
      <c r="K15" s="117"/>
      <c r="M15" s="139" t="s">
        <v>5</v>
      </c>
      <c r="N15" s="139" t="s">
        <v>123</v>
      </c>
    </row>
    <row r="16" spans="1:14" ht="15.75" thickBot="1" x14ac:dyDescent="0.3">
      <c r="B16" s="10" t="str">
        <f>'FEUILLE SAISIE'!B17&amp;" "&amp;'FEUILLE SAISIE'!D17</f>
        <v xml:space="preserve">Vaches laitières </v>
      </c>
      <c r="C16" s="122">
        <f>'FEUILLE SAISIE'!C17</f>
        <v>0</v>
      </c>
      <c r="D16" s="123" t="e">
        <f t="shared" ref="D16:D25" si="0">VLOOKUP(B16,$L$16:$N$64,2,FALSE)</f>
        <v>#N/A</v>
      </c>
      <c r="E16" s="124" t="e">
        <f>C16*D16</f>
        <v>#N/A</v>
      </c>
      <c r="F16" s="124" t="e">
        <f t="shared" ref="F16:F25" si="1">VLOOKUP(B16,$L$16:$N$64,3,FALSE)</f>
        <v>#N/A</v>
      </c>
      <c r="G16" s="140" t="e">
        <f>C16*F16</f>
        <v>#N/A</v>
      </c>
      <c r="H16" s="29"/>
      <c r="I16" s="29"/>
      <c r="J16" s="29"/>
      <c r="K16" s="29"/>
      <c r="L16" s="18" t="s">
        <v>100</v>
      </c>
      <c r="M16" s="133">
        <v>1.05</v>
      </c>
      <c r="N16" s="141">
        <v>674</v>
      </c>
    </row>
    <row r="17" spans="1:14" ht="15.75" thickBot="1" x14ac:dyDescent="0.3">
      <c r="A17" s="5"/>
      <c r="B17" s="6" t="str">
        <f>'FEUILLE SAISIE'!B18</f>
        <v>Taureaux</v>
      </c>
      <c r="C17" s="122">
        <f>'FEUILLE SAISIE'!C18</f>
        <v>0</v>
      </c>
      <c r="D17" s="123">
        <f t="shared" si="0"/>
        <v>1</v>
      </c>
      <c r="E17" s="124">
        <f t="shared" ref="E17:E23" si="2">C17*D17</f>
        <v>0</v>
      </c>
      <c r="F17" s="124">
        <f t="shared" si="1"/>
        <v>422</v>
      </c>
      <c r="G17" s="140">
        <f t="shared" ref="G17:G23" si="3">C17*F17</f>
        <v>0</v>
      </c>
      <c r="H17" s="29"/>
      <c r="I17" s="29"/>
      <c r="J17" s="29"/>
      <c r="K17" s="29"/>
      <c r="L17" s="18" t="s">
        <v>101</v>
      </c>
      <c r="M17" s="133">
        <v>1.1299999999999999</v>
      </c>
      <c r="N17" s="141">
        <v>751</v>
      </c>
    </row>
    <row r="18" spans="1:14" ht="15.75" thickBot="1" x14ac:dyDescent="0.3">
      <c r="A18" s="5"/>
      <c r="B18" s="6" t="str">
        <f>'FEUILLE SAISIE'!B19</f>
        <v>Génisses laitières &lt; 1an</v>
      </c>
      <c r="C18" s="122">
        <f>'FEUILLE SAISIE'!C19</f>
        <v>0</v>
      </c>
      <c r="D18" s="123">
        <f t="shared" si="0"/>
        <v>0.4</v>
      </c>
      <c r="E18" s="124">
        <f t="shared" si="2"/>
        <v>0</v>
      </c>
      <c r="F18" s="124">
        <f t="shared" si="1"/>
        <v>153</v>
      </c>
      <c r="G18" s="140">
        <f t="shared" si="3"/>
        <v>0</v>
      </c>
      <c r="H18" s="29"/>
      <c r="I18" s="29"/>
      <c r="J18" s="29"/>
      <c r="K18" s="29"/>
      <c r="L18" s="18" t="s">
        <v>102</v>
      </c>
      <c r="M18" s="133">
        <v>1.2</v>
      </c>
      <c r="N18" s="141">
        <v>830</v>
      </c>
    </row>
    <row r="19" spans="1:14" ht="15.75" thickBot="1" x14ac:dyDescent="0.3">
      <c r="A19" s="5"/>
      <c r="B19" s="6" t="str">
        <f>'FEUILLE SAISIE'!B20&amp;" "&amp;'FEUILLE SAISIE'!E20</f>
        <v>Génisses laitières de 1 à 2 ans tardif (30-36 mois)</v>
      </c>
      <c r="C19" s="122">
        <f>'FEUILLE SAISIE'!C20</f>
        <v>0</v>
      </c>
      <c r="D19" s="123">
        <f t="shared" si="0"/>
        <v>0.6</v>
      </c>
      <c r="E19" s="124">
        <f t="shared" si="2"/>
        <v>0</v>
      </c>
      <c r="F19" s="124">
        <f t="shared" si="1"/>
        <v>307</v>
      </c>
      <c r="G19" s="140">
        <f t="shared" si="3"/>
        <v>0</v>
      </c>
      <c r="H19" s="29"/>
      <c r="I19" s="29"/>
      <c r="J19" s="29"/>
      <c r="K19" s="29"/>
      <c r="L19" s="18" t="s">
        <v>103</v>
      </c>
      <c r="M19" s="133">
        <v>1.26</v>
      </c>
      <c r="N19" s="141">
        <v>907</v>
      </c>
    </row>
    <row r="20" spans="1:14" ht="15.75" thickBot="1" x14ac:dyDescent="0.3">
      <c r="A20" s="5"/>
      <c r="B20" s="6" t="str">
        <f>'FEUILLE SAISIE'!B21</f>
        <v>Génisses laitières &gt; 2 ans</v>
      </c>
      <c r="C20" s="122">
        <f>'FEUILLE SAISIE'!C21</f>
        <v>0</v>
      </c>
      <c r="D20" s="123">
        <f t="shared" si="0"/>
        <v>0.8</v>
      </c>
      <c r="E20" s="124">
        <f t="shared" si="2"/>
        <v>0</v>
      </c>
      <c r="F20" s="124">
        <f t="shared" si="1"/>
        <v>409</v>
      </c>
      <c r="G20" s="140">
        <f t="shared" si="3"/>
        <v>0</v>
      </c>
      <c r="H20" s="29"/>
      <c r="I20" s="29"/>
      <c r="J20" s="29"/>
      <c r="K20" s="29"/>
      <c r="L20" s="18" t="s">
        <v>716</v>
      </c>
      <c r="M20" s="133">
        <v>1.35</v>
      </c>
      <c r="N20" s="141">
        <v>986</v>
      </c>
    </row>
    <row r="21" spans="1:14" ht="15.75" thickBot="1" x14ac:dyDescent="0.3">
      <c r="A21" s="5"/>
      <c r="B21" s="6" t="str">
        <f>'FEUILLE SAISIE'!B22</f>
        <v>Bœufs laitiers &lt; 1 an</v>
      </c>
      <c r="C21" s="122">
        <f>'FEUILLE SAISIE'!C22</f>
        <v>0</v>
      </c>
      <c r="D21" s="123">
        <f t="shared" si="0"/>
        <v>0.4</v>
      </c>
      <c r="E21" s="124">
        <f t="shared" si="2"/>
        <v>0</v>
      </c>
      <c r="F21" s="124">
        <f t="shared" si="1"/>
        <v>153</v>
      </c>
      <c r="G21" s="140">
        <f t="shared" si="3"/>
        <v>0</v>
      </c>
      <c r="H21" s="29"/>
      <c r="I21" s="29"/>
      <c r="J21" s="29"/>
      <c r="K21" s="29"/>
      <c r="L21" s="18" t="s">
        <v>8</v>
      </c>
      <c r="M21" s="133">
        <v>1</v>
      </c>
      <c r="N21" s="141">
        <v>422</v>
      </c>
    </row>
    <row r="22" spans="1:14" ht="15.75" thickBot="1" x14ac:dyDescent="0.3">
      <c r="A22" s="5"/>
      <c r="B22" s="6" t="str">
        <f>'FEUILLE SAISIE'!B23&amp;" "&amp;'FEUILLE SAISIE'!E23</f>
        <v>Bœufs laitier 1-2 ans  précoce (24 mois)</v>
      </c>
      <c r="C22" s="122">
        <f>'FEUILLE SAISIE'!C23</f>
        <v>0</v>
      </c>
      <c r="D22" s="123">
        <f t="shared" si="0"/>
        <v>0.6</v>
      </c>
      <c r="E22" s="124">
        <f t="shared" si="2"/>
        <v>0</v>
      </c>
      <c r="F22" s="124">
        <f t="shared" si="1"/>
        <v>307</v>
      </c>
      <c r="G22" s="140">
        <f t="shared" si="3"/>
        <v>0</v>
      </c>
      <c r="H22" s="29"/>
      <c r="I22" s="29"/>
      <c r="J22" s="29"/>
      <c r="K22" s="29"/>
      <c r="L22" s="18" t="s">
        <v>79</v>
      </c>
      <c r="M22" s="133">
        <v>0.4</v>
      </c>
      <c r="N22" s="141">
        <v>153</v>
      </c>
    </row>
    <row r="23" spans="1:14" ht="15.75" thickBot="1" x14ac:dyDescent="0.3">
      <c r="A23" s="5"/>
      <c r="B23" s="6" t="str">
        <f>'FEUILLE SAISIE'!B24</f>
        <v>Bœufs laitiers &gt; 2 ans</v>
      </c>
      <c r="C23" s="122">
        <f>'FEUILLE SAISIE'!C24</f>
        <v>0</v>
      </c>
      <c r="D23" s="123">
        <f t="shared" si="0"/>
        <v>0.8</v>
      </c>
      <c r="E23" s="124">
        <f t="shared" si="2"/>
        <v>0</v>
      </c>
      <c r="F23" s="124">
        <f t="shared" si="1"/>
        <v>409</v>
      </c>
      <c r="G23" s="140">
        <f t="shared" si="3"/>
        <v>0</v>
      </c>
      <c r="H23" s="29"/>
      <c r="I23" s="29"/>
      <c r="J23" s="29"/>
      <c r="K23" s="29"/>
      <c r="L23" s="18" t="s">
        <v>104</v>
      </c>
      <c r="M23" s="133">
        <v>0.6</v>
      </c>
      <c r="N23" s="141">
        <v>307</v>
      </c>
    </row>
    <row r="24" spans="1:14" ht="15.75" thickBot="1" x14ac:dyDescent="0.3">
      <c r="A24" s="5"/>
      <c r="B24" s="6" t="s">
        <v>94</v>
      </c>
      <c r="C24" s="122">
        <f>'FEUILLE SAISIE'!C25</f>
        <v>0</v>
      </c>
      <c r="D24" s="123">
        <f t="shared" si="0"/>
        <v>0.4</v>
      </c>
      <c r="E24" s="124">
        <f t="shared" ref="E24:E25" si="4">C24*D24</f>
        <v>0</v>
      </c>
      <c r="F24" s="124">
        <f t="shared" si="1"/>
        <v>205</v>
      </c>
      <c r="G24" s="140">
        <f t="shared" ref="G24:G25" si="5">C24*F24</f>
        <v>0</v>
      </c>
      <c r="H24" s="29"/>
      <c r="I24" s="29"/>
      <c r="J24" s="29"/>
      <c r="K24" s="29"/>
      <c r="L24" s="18" t="s">
        <v>106</v>
      </c>
      <c r="M24" s="133">
        <v>0.75</v>
      </c>
      <c r="N24" s="141">
        <v>384</v>
      </c>
    </row>
    <row r="25" spans="1:14" ht="15.75" thickBot="1" x14ac:dyDescent="0.3">
      <c r="A25" s="5"/>
      <c r="B25" s="6" t="s">
        <v>93</v>
      </c>
      <c r="C25" s="122">
        <f>'FEUILLE SAISIE'!C26</f>
        <v>0</v>
      </c>
      <c r="D25" s="123">
        <f t="shared" si="0"/>
        <v>0.6</v>
      </c>
      <c r="E25" s="124">
        <f t="shared" si="4"/>
        <v>0</v>
      </c>
      <c r="F25" s="124">
        <f t="shared" si="1"/>
        <v>307</v>
      </c>
      <c r="G25" s="140">
        <f t="shared" si="5"/>
        <v>0</v>
      </c>
      <c r="H25" s="29"/>
      <c r="I25" s="29"/>
      <c r="J25" s="29"/>
      <c r="K25" s="29"/>
      <c r="L25" s="18" t="s">
        <v>83</v>
      </c>
      <c r="M25" s="133">
        <v>0.8</v>
      </c>
      <c r="N25" s="141">
        <v>409</v>
      </c>
    </row>
    <row r="26" spans="1:14" ht="15.75" thickBot="1" x14ac:dyDescent="0.3">
      <c r="A26" s="20"/>
      <c r="B26" s="21" t="s">
        <v>683</v>
      </c>
      <c r="C26" s="127"/>
      <c r="D26" s="128"/>
      <c r="E26" s="129"/>
      <c r="F26" s="129"/>
      <c r="G26" s="142"/>
      <c r="H26" s="29"/>
      <c r="I26" s="29"/>
      <c r="J26" s="29"/>
      <c r="K26" s="29"/>
      <c r="L26" s="18" t="s">
        <v>84</v>
      </c>
      <c r="M26" s="133">
        <v>0.4</v>
      </c>
      <c r="N26" s="141">
        <v>153</v>
      </c>
    </row>
    <row r="27" spans="1:14" ht="15.75" thickBot="1" x14ac:dyDescent="0.3">
      <c r="A27" s="5"/>
      <c r="B27" s="6" t="s">
        <v>741</v>
      </c>
      <c r="C27" s="122">
        <f>'FEUILLE SAISIE'!C28</f>
        <v>0</v>
      </c>
      <c r="D27" s="123">
        <f t="shared" ref="D27:D36" si="6">VLOOKUP(B27,$L$16:$N$64,2,FALSE)</f>
        <v>0.85</v>
      </c>
      <c r="E27" s="124">
        <f t="shared" ref="E27" si="7">C27*D27</f>
        <v>0</v>
      </c>
      <c r="F27" s="124">
        <f t="shared" ref="F27:F36" si="8">VLOOKUP(B27,$L$16:$N$64,3,FALSE)</f>
        <v>421</v>
      </c>
      <c r="G27" s="140">
        <f t="shared" ref="G27" si="9">C27*F27</f>
        <v>0</v>
      </c>
      <c r="H27" s="29"/>
      <c r="I27" s="29"/>
      <c r="J27" s="29"/>
      <c r="K27" s="29"/>
      <c r="L27" s="18" t="s">
        <v>105</v>
      </c>
      <c r="M27" s="133">
        <v>0.6</v>
      </c>
      <c r="N27" s="141">
        <v>307</v>
      </c>
    </row>
    <row r="28" spans="1:14" ht="15.75" thickBot="1" x14ac:dyDescent="0.3">
      <c r="A28" s="5"/>
      <c r="B28" s="6" t="s">
        <v>714</v>
      </c>
      <c r="C28" s="122">
        <f>'FEUILLE SAISIE'!C29</f>
        <v>0</v>
      </c>
      <c r="D28" s="123">
        <f t="shared" si="6"/>
        <v>1</v>
      </c>
      <c r="E28" s="124">
        <f t="shared" ref="E28:E36" si="10">C28*D28</f>
        <v>0</v>
      </c>
      <c r="F28" s="124">
        <f t="shared" si="8"/>
        <v>510</v>
      </c>
      <c r="G28" s="140">
        <f t="shared" ref="G28:G36" si="11">C28*F28</f>
        <v>0</v>
      </c>
      <c r="H28" s="29"/>
      <c r="I28" s="29"/>
      <c r="J28" s="29"/>
      <c r="K28" s="29"/>
      <c r="L28" s="18" t="s">
        <v>107</v>
      </c>
      <c r="M28" s="133">
        <v>0.75</v>
      </c>
      <c r="N28" s="141">
        <v>384</v>
      </c>
    </row>
    <row r="29" spans="1:14" ht="15.75" thickBot="1" x14ac:dyDescent="0.3">
      <c r="A29" s="5"/>
      <c r="B29" s="6" t="s">
        <v>742</v>
      </c>
      <c r="C29" s="122">
        <f>'FEUILLE SAISIE'!C30</f>
        <v>0</v>
      </c>
      <c r="D29" s="123">
        <f t="shared" si="6"/>
        <v>0.8</v>
      </c>
      <c r="E29" s="124">
        <f t="shared" si="10"/>
        <v>0</v>
      </c>
      <c r="F29" s="124">
        <f t="shared" si="8"/>
        <v>408</v>
      </c>
      <c r="G29" s="140">
        <f t="shared" si="11"/>
        <v>0</v>
      </c>
      <c r="H29" s="29"/>
      <c r="I29" s="29"/>
      <c r="J29" s="29"/>
      <c r="K29" s="29"/>
      <c r="L29" s="18" t="s">
        <v>91</v>
      </c>
      <c r="M29" s="133">
        <v>0.8</v>
      </c>
      <c r="N29" s="141">
        <v>409</v>
      </c>
    </row>
    <row r="30" spans="1:14" ht="15.75" thickBot="1" x14ac:dyDescent="0.3">
      <c r="A30" s="5"/>
      <c r="B30" s="6" t="s">
        <v>743</v>
      </c>
      <c r="C30" s="122">
        <f>'FEUILLE SAISIE'!C31</f>
        <v>0</v>
      </c>
      <c r="D30" s="123">
        <f t="shared" si="6"/>
        <v>0.6</v>
      </c>
      <c r="E30" s="124">
        <f t="shared" si="10"/>
        <v>0</v>
      </c>
      <c r="F30" s="124">
        <f t="shared" si="8"/>
        <v>306</v>
      </c>
      <c r="G30" s="140">
        <f t="shared" si="11"/>
        <v>0</v>
      </c>
      <c r="H30" s="29"/>
      <c r="I30" s="29"/>
      <c r="J30" s="29"/>
      <c r="K30" s="29"/>
      <c r="L30" s="18" t="s">
        <v>94</v>
      </c>
      <c r="M30" s="133">
        <v>0.4</v>
      </c>
      <c r="N30" s="141">
        <v>205</v>
      </c>
    </row>
    <row r="31" spans="1:14" ht="15.75" thickBot="1" x14ac:dyDescent="0.3">
      <c r="A31" s="5"/>
      <c r="B31" s="6" t="s">
        <v>744</v>
      </c>
      <c r="C31" s="122">
        <f>'FEUILLE SAISIE'!C32</f>
        <v>0</v>
      </c>
      <c r="D31" s="123">
        <f t="shared" si="6"/>
        <v>0.4</v>
      </c>
      <c r="E31" s="124">
        <f t="shared" si="10"/>
        <v>0</v>
      </c>
      <c r="F31" s="124">
        <f t="shared" si="8"/>
        <v>204</v>
      </c>
      <c r="G31" s="140">
        <f t="shared" si="11"/>
        <v>0</v>
      </c>
      <c r="H31" s="29"/>
      <c r="I31" s="29"/>
      <c r="J31" s="29"/>
      <c r="K31" s="29"/>
      <c r="L31" s="18" t="s">
        <v>93</v>
      </c>
      <c r="M31" s="133">
        <v>0.6</v>
      </c>
      <c r="N31" s="141">
        <v>307</v>
      </c>
    </row>
    <row r="32" spans="1:14" ht="15.75" thickBot="1" x14ac:dyDescent="0.3">
      <c r="A32" s="5"/>
      <c r="B32" s="6" t="s">
        <v>745</v>
      </c>
      <c r="C32" s="122">
        <f>'FEUILLE SAISIE'!C33</f>
        <v>0</v>
      </c>
      <c r="D32" s="123">
        <f t="shared" si="6"/>
        <v>0.45</v>
      </c>
      <c r="E32" s="124">
        <f t="shared" si="10"/>
        <v>0</v>
      </c>
      <c r="F32" s="124">
        <f t="shared" si="8"/>
        <v>230</v>
      </c>
      <c r="G32" s="140">
        <f t="shared" si="11"/>
        <v>0</v>
      </c>
      <c r="H32" s="29"/>
      <c r="I32" s="29"/>
      <c r="J32" s="29"/>
      <c r="K32" s="29"/>
      <c r="L32" s="18" t="s">
        <v>741</v>
      </c>
      <c r="M32" s="133">
        <v>0.85</v>
      </c>
      <c r="N32" s="141">
        <v>421</v>
      </c>
    </row>
    <row r="33" spans="1:14" ht="15.75" thickBot="1" x14ac:dyDescent="0.3">
      <c r="A33" s="5"/>
      <c r="B33" s="6" t="s">
        <v>746</v>
      </c>
      <c r="C33" s="122">
        <f>'FEUILLE SAISIE'!C34</f>
        <v>0</v>
      </c>
      <c r="D33" s="123">
        <f t="shared" si="6"/>
        <v>0.65</v>
      </c>
      <c r="E33" s="124">
        <f t="shared" si="10"/>
        <v>0</v>
      </c>
      <c r="F33" s="124">
        <f t="shared" si="8"/>
        <v>332</v>
      </c>
      <c r="G33" s="140">
        <f t="shared" si="11"/>
        <v>0</v>
      </c>
      <c r="H33" s="29"/>
      <c r="I33" s="29"/>
      <c r="J33" s="29"/>
      <c r="K33" s="29"/>
      <c r="L33" s="18" t="s">
        <v>714</v>
      </c>
      <c r="M33" s="133">
        <v>1</v>
      </c>
      <c r="N33" s="141">
        <v>510</v>
      </c>
    </row>
    <row r="34" spans="1:14" ht="15.75" thickBot="1" x14ac:dyDescent="0.3">
      <c r="A34" s="5"/>
      <c r="B34" s="6" t="s">
        <v>747</v>
      </c>
      <c r="C34" s="122">
        <f>'FEUILLE SAISIE'!C35</f>
        <v>0</v>
      </c>
      <c r="D34" s="123">
        <f t="shared" si="6"/>
        <v>0.85</v>
      </c>
      <c r="E34" s="124">
        <f t="shared" si="10"/>
        <v>0</v>
      </c>
      <c r="F34" s="124">
        <f t="shared" si="8"/>
        <v>434</v>
      </c>
      <c r="G34" s="140">
        <f t="shared" si="11"/>
        <v>0</v>
      </c>
      <c r="H34" s="29"/>
      <c r="I34" s="29"/>
      <c r="J34" s="29"/>
      <c r="K34" s="29"/>
      <c r="L34" s="18" t="s">
        <v>742</v>
      </c>
      <c r="M34" s="133">
        <v>0.8</v>
      </c>
      <c r="N34" s="141">
        <v>408</v>
      </c>
    </row>
    <row r="35" spans="1:14" ht="15.75" thickBot="1" x14ac:dyDescent="0.3">
      <c r="A35" s="5"/>
      <c r="B35" s="6" t="s">
        <v>748</v>
      </c>
      <c r="C35" s="122">
        <f>'FEUILLE SAISIE'!C36</f>
        <v>0</v>
      </c>
      <c r="D35" s="123">
        <f t="shared" si="6"/>
        <v>1</v>
      </c>
      <c r="E35" s="124">
        <f t="shared" si="10"/>
        <v>0</v>
      </c>
      <c r="F35" s="124">
        <f t="shared" si="8"/>
        <v>510</v>
      </c>
      <c r="G35" s="140">
        <f t="shared" si="11"/>
        <v>0</v>
      </c>
      <c r="H35" s="29"/>
      <c r="I35" s="29"/>
      <c r="J35" s="29"/>
      <c r="K35" s="29"/>
      <c r="L35" s="18" t="s">
        <v>743</v>
      </c>
      <c r="M35" s="133">
        <v>0.6</v>
      </c>
      <c r="N35" s="141">
        <v>306</v>
      </c>
    </row>
    <row r="36" spans="1:14" ht="15.75" thickBot="1" x14ac:dyDescent="0.3">
      <c r="A36" s="5"/>
      <c r="B36" s="6" t="s">
        <v>749</v>
      </c>
      <c r="C36" s="122">
        <f>'FEUILLE SAISIE'!C37</f>
        <v>0</v>
      </c>
      <c r="D36" s="123">
        <f t="shared" si="6"/>
        <v>0.6</v>
      </c>
      <c r="E36" s="124">
        <f t="shared" si="10"/>
        <v>0</v>
      </c>
      <c r="F36" s="124">
        <f t="shared" si="8"/>
        <v>306</v>
      </c>
      <c r="G36" s="140">
        <f t="shared" si="11"/>
        <v>0</v>
      </c>
      <c r="H36" s="29"/>
      <c r="I36" s="29"/>
      <c r="J36" s="29"/>
      <c r="K36" s="29"/>
      <c r="L36" s="18" t="s">
        <v>744</v>
      </c>
      <c r="M36" s="133">
        <v>0.4</v>
      </c>
      <c r="N36" s="141">
        <v>204</v>
      </c>
    </row>
    <row r="37" spans="1:14" ht="15.75" thickBot="1" x14ac:dyDescent="0.3">
      <c r="A37" s="20"/>
      <c r="B37" s="21" t="s">
        <v>684</v>
      </c>
      <c r="C37" s="127"/>
      <c r="D37" s="128"/>
      <c r="E37" s="129"/>
      <c r="F37" s="129"/>
      <c r="G37" s="142"/>
      <c r="H37" s="29"/>
      <c r="I37" s="29"/>
      <c r="J37" s="29"/>
      <c r="K37" s="29"/>
      <c r="L37" s="18" t="s">
        <v>745</v>
      </c>
      <c r="M37" s="133">
        <v>0.45</v>
      </c>
      <c r="N37" s="141">
        <v>230</v>
      </c>
    </row>
    <row r="38" spans="1:14" ht="15.75" thickBot="1" x14ac:dyDescent="0.3">
      <c r="A38" s="5"/>
      <c r="B38" s="6" t="s">
        <v>750</v>
      </c>
      <c r="C38" s="122">
        <f>'FEUILLE SAISIE'!C39</f>
        <v>0</v>
      </c>
      <c r="D38" s="123">
        <f t="shared" ref="D38:D47" si="12">VLOOKUP(B38,$L$16:$N$64,2,FALSE)</f>
        <v>0.9</v>
      </c>
      <c r="E38" s="124">
        <f t="shared" ref="E38:E47" si="13">C38*D38</f>
        <v>0</v>
      </c>
      <c r="F38" s="124">
        <f t="shared" ref="F38:F47" si="14">VLOOKUP(B38,$L$16:$N$64,3,FALSE)</f>
        <v>421</v>
      </c>
      <c r="G38" s="140">
        <f t="shared" ref="G38:G47" si="15">C38*F38</f>
        <v>0</v>
      </c>
      <c r="H38" s="29"/>
      <c r="I38" s="29"/>
      <c r="J38" s="29"/>
      <c r="K38" s="29"/>
      <c r="L38" s="18" t="s">
        <v>746</v>
      </c>
      <c r="M38" s="133">
        <v>0.65</v>
      </c>
      <c r="N38" s="141">
        <v>332</v>
      </c>
    </row>
    <row r="39" spans="1:14" ht="15.75" thickBot="1" x14ac:dyDescent="0.3">
      <c r="A39" s="5"/>
      <c r="B39" s="6" t="s">
        <v>715</v>
      </c>
      <c r="C39" s="122">
        <f>'FEUILLE SAISIE'!C40</f>
        <v>0</v>
      </c>
      <c r="D39" s="123">
        <f t="shared" si="12"/>
        <v>0.9</v>
      </c>
      <c r="E39" s="124">
        <f t="shared" si="13"/>
        <v>0</v>
      </c>
      <c r="F39" s="124">
        <f t="shared" si="14"/>
        <v>459</v>
      </c>
      <c r="G39" s="140">
        <f t="shared" si="15"/>
        <v>0</v>
      </c>
      <c r="H39" s="29"/>
      <c r="I39" s="29"/>
      <c r="J39" s="29"/>
      <c r="K39" s="29"/>
      <c r="L39" s="18" t="s">
        <v>747</v>
      </c>
      <c r="M39" s="133">
        <v>0.85</v>
      </c>
      <c r="N39" s="141">
        <v>434</v>
      </c>
    </row>
    <row r="40" spans="1:14" ht="15.75" thickBot="1" x14ac:dyDescent="0.3">
      <c r="A40" s="5"/>
      <c r="B40" s="6" t="s">
        <v>751</v>
      </c>
      <c r="C40" s="122">
        <f>'FEUILLE SAISIE'!C41</f>
        <v>0</v>
      </c>
      <c r="D40" s="123">
        <f t="shared" si="12"/>
        <v>0.75</v>
      </c>
      <c r="E40" s="124">
        <f t="shared" si="13"/>
        <v>0</v>
      </c>
      <c r="F40" s="124">
        <f t="shared" si="14"/>
        <v>383</v>
      </c>
      <c r="G40" s="140">
        <f t="shared" si="15"/>
        <v>0</v>
      </c>
      <c r="H40" s="29"/>
      <c r="I40" s="29"/>
      <c r="J40" s="29"/>
      <c r="K40" s="29"/>
      <c r="L40" s="18" t="s">
        <v>748</v>
      </c>
      <c r="M40" s="133">
        <v>1</v>
      </c>
      <c r="N40" s="141">
        <v>510</v>
      </c>
    </row>
    <row r="41" spans="1:14" ht="15.75" thickBot="1" x14ac:dyDescent="0.3">
      <c r="A41" s="5"/>
      <c r="B41" s="6" t="s">
        <v>752</v>
      </c>
      <c r="C41" s="122">
        <f>'FEUILLE SAISIE'!C42</f>
        <v>0</v>
      </c>
      <c r="D41" s="123">
        <f t="shared" si="12"/>
        <v>0.55000000000000004</v>
      </c>
      <c r="E41" s="124">
        <f t="shared" si="13"/>
        <v>0</v>
      </c>
      <c r="F41" s="124">
        <f t="shared" si="14"/>
        <v>281</v>
      </c>
      <c r="G41" s="140">
        <f t="shared" si="15"/>
        <v>0</v>
      </c>
      <c r="H41" s="29"/>
      <c r="I41" s="29"/>
      <c r="J41" s="29"/>
      <c r="K41" s="29"/>
      <c r="L41" s="18" t="s">
        <v>749</v>
      </c>
      <c r="M41" s="133">
        <v>0.6</v>
      </c>
      <c r="N41" s="141">
        <v>306</v>
      </c>
    </row>
    <row r="42" spans="1:14" ht="15.75" thickBot="1" x14ac:dyDescent="0.3">
      <c r="A42" s="5"/>
      <c r="B42" s="6" t="s">
        <v>753</v>
      </c>
      <c r="C42" s="122">
        <f>'FEUILLE SAISIE'!C43</f>
        <v>0</v>
      </c>
      <c r="D42" s="123">
        <f t="shared" si="12"/>
        <v>0.35</v>
      </c>
      <c r="E42" s="124">
        <f t="shared" si="13"/>
        <v>0</v>
      </c>
      <c r="F42" s="124">
        <f t="shared" si="14"/>
        <v>179</v>
      </c>
      <c r="G42" s="140">
        <f t="shared" si="15"/>
        <v>0</v>
      </c>
      <c r="H42" s="29"/>
      <c r="I42" s="29"/>
      <c r="J42" s="29"/>
      <c r="K42" s="29"/>
      <c r="L42" s="18" t="s">
        <v>750</v>
      </c>
      <c r="M42" s="133">
        <v>0.9</v>
      </c>
      <c r="N42" s="141">
        <v>421</v>
      </c>
    </row>
    <row r="43" spans="1:14" ht="15.75" thickBot="1" x14ac:dyDescent="0.3">
      <c r="A43" s="5"/>
      <c r="B43" s="6" t="s">
        <v>754</v>
      </c>
      <c r="C43" s="122">
        <f>'FEUILLE SAISIE'!C44</f>
        <v>0</v>
      </c>
      <c r="D43" s="123">
        <f t="shared" si="12"/>
        <v>0.4</v>
      </c>
      <c r="E43" s="124">
        <f t="shared" si="13"/>
        <v>0</v>
      </c>
      <c r="F43" s="124">
        <f t="shared" si="14"/>
        <v>204</v>
      </c>
      <c r="G43" s="140">
        <f t="shared" si="15"/>
        <v>0</v>
      </c>
      <c r="H43" s="29"/>
      <c r="I43" s="29"/>
      <c r="J43" s="29"/>
      <c r="K43" s="29"/>
      <c r="L43" s="18" t="s">
        <v>715</v>
      </c>
      <c r="M43" s="133">
        <v>0.9</v>
      </c>
      <c r="N43" s="141">
        <v>459</v>
      </c>
    </row>
    <row r="44" spans="1:14" ht="15.75" thickBot="1" x14ac:dyDescent="0.3">
      <c r="A44" s="5"/>
      <c r="B44" s="6" t="s">
        <v>755</v>
      </c>
      <c r="C44" s="122">
        <f>'FEUILLE SAISIE'!C45</f>
        <v>0</v>
      </c>
      <c r="D44" s="123">
        <f t="shared" si="12"/>
        <v>0.6</v>
      </c>
      <c r="E44" s="124">
        <f t="shared" si="13"/>
        <v>0</v>
      </c>
      <c r="F44" s="124">
        <f t="shared" si="14"/>
        <v>306</v>
      </c>
      <c r="G44" s="140">
        <f t="shared" si="15"/>
        <v>0</v>
      </c>
      <c r="H44" s="29"/>
      <c r="I44" s="29"/>
      <c r="J44" s="29"/>
      <c r="K44" s="29"/>
      <c r="L44" s="18" t="s">
        <v>751</v>
      </c>
      <c r="M44" s="133">
        <v>0.75</v>
      </c>
      <c r="N44" s="141">
        <v>383</v>
      </c>
    </row>
    <row r="45" spans="1:14" ht="15.75" thickBot="1" x14ac:dyDescent="0.3">
      <c r="A45" s="5"/>
      <c r="B45" s="6" t="s">
        <v>756</v>
      </c>
      <c r="C45" s="122">
        <f>'FEUILLE SAISIE'!C46</f>
        <v>0</v>
      </c>
      <c r="D45" s="123">
        <f t="shared" si="12"/>
        <v>0.8</v>
      </c>
      <c r="E45" s="124">
        <f t="shared" si="13"/>
        <v>0</v>
      </c>
      <c r="F45" s="124">
        <f t="shared" si="14"/>
        <v>408</v>
      </c>
      <c r="G45" s="140">
        <f t="shared" si="15"/>
        <v>0</v>
      </c>
      <c r="H45" s="29"/>
      <c r="I45" s="29"/>
      <c r="J45" s="29"/>
      <c r="K45" s="29"/>
      <c r="L45" s="18" t="s">
        <v>752</v>
      </c>
      <c r="M45" s="133">
        <v>0.55000000000000004</v>
      </c>
      <c r="N45" s="141">
        <v>281</v>
      </c>
    </row>
    <row r="46" spans="1:14" ht="15.75" thickBot="1" x14ac:dyDescent="0.3">
      <c r="A46" s="5"/>
      <c r="B46" s="6" t="s">
        <v>757</v>
      </c>
      <c r="C46" s="122">
        <f>'FEUILLE SAISIE'!C47</f>
        <v>0</v>
      </c>
      <c r="D46" s="123">
        <f t="shared" si="12"/>
        <v>0.9</v>
      </c>
      <c r="E46" s="124">
        <f t="shared" si="13"/>
        <v>0</v>
      </c>
      <c r="F46" s="124">
        <f t="shared" si="14"/>
        <v>459</v>
      </c>
      <c r="G46" s="140">
        <f t="shared" si="15"/>
        <v>0</v>
      </c>
      <c r="H46" s="29"/>
      <c r="I46" s="29"/>
      <c r="J46" s="29"/>
      <c r="K46" s="29"/>
      <c r="L46" s="18" t="s">
        <v>753</v>
      </c>
      <c r="M46" s="133">
        <v>0.35</v>
      </c>
      <c r="N46" s="141">
        <v>179</v>
      </c>
    </row>
    <row r="47" spans="1:14" ht="15.75" thickBot="1" x14ac:dyDescent="0.3">
      <c r="A47" s="5"/>
      <c r="B47" s="6" t="s">
        <v>758</v>
      </c>
      <c r="C47" s="122">
        <f>'FEUILLE SAISIE'!C48</f>
        <v>0</v>
      </c>
      <c r="D47" s="123">
        <f t="shared" si="12"/>
        <v>0.6</v>
      </c>
      <c r="E47" s="124">
        <f t="shared" si="13"/>
        <v>0</v>
      </c>
      <c r="F47" s="124">
        <f t="shared" si="14"/>
        <v>306</v>
      </c>
      <c r="G47" s="140">
        <f t="shared" si="15"/>
        <v>0</v>
      </c>
      <c r="H47" s="29"/>
      <c r="I47" s="29"/>
      <c r="J47" s="29"/>
      <c r="K47" s="29"/>
      <c r="L47" s="18" t="s">
        <v>754</v>
      </c>
      <c r="M47" s="133">
        <v>0.4</v>
      </c>
      <c r="N47" s="141">
        <v>204</v>
      </c>
    </row>
    <row r="48" spans="1:14" ht="15.75" thickBot="1" x14ac:dyDescent="0.3">
      <c r="A48" s="20"/>
      <c r="B48" s="21" t="s">
        <v>685</v>
      </c>
      <c r="C48" s="127"/>
      <c r="D48" s="128"/>
      <c r="E48" s="129"/>
      <c r="F48" s="129"/>
      <c r="G48" s="142"/>
      <c r="H48" s="29"/>
      <c r="I48" s="29"/>
      <c r="J48" s="29"/>
      <c r="K48" s="29"/>
      <c r="L48" s="18" t="s">
        <v>755</v>
      </c>
      <c r="M48" s="133">
        <v>0.6</v>
      </c>
      <c r="N48" s="141">
        <v>306</v>
      </c>
    </row>
    <row r="49" spans="1:14" ht="15.75" thickBot="1" x14ac:dyDescent="0.3">
      <c r="A49" s="5"/>
      <c r="B49" s="6" t="s">
        <v>686</v>
      </c>
      <c r="C49" s="122">
        <f>'FEUILLE SAISIE'!C50</f>
        <v>0</v>
      </c>
      <c r="D49" s="123">
        <f>VLOOKUP(B49,$L$16:$N$64,2,FALSE)</f>
        <v>0.17</v>
      </c>
      <c r="E49" s="124">
        <f t="shared" ref="E49:E51" si="16">C49*D49</f>
        <v>0</v>
      </c>
      <c r="F49" s="124">
        <f>VLOOKUP(B49,$L$16:$N$64,3,FALSE)</f>
        <v>85</v>
      </c>
      <c r="G49" s="140">
        <f t="shared" ref="G49:G51" si="17">C49*F49</f>
        <v>0</v>
      </c>
      <c r="H49" s="29"/>
      <c r="I49" s="29"/>
      <c r="J49" s="29"/>
      <c r="K49" s="29"/>
      <c r="L49" s="18" t="s">
        <v>756</v>
      </c>
      <c r="M49" s="133">
        <v>0.8</v>
      </c>
      <c r="N49" s="141">
        <v>408</v>
      </c>
    </row>
    <row r="50" spans="1:14" ht="15.75" thickBot="1" x14ac:dyDescent="0.3">
      <c r="A50" s="5"/>
      <c r="B50" s="6" t="s">
        <v>687</v>
      </c>
      <c r="C50" s="122">
        <f>'FEUILLE SAISIE'!C51</f>
        <v>0</v>
      </c>
      <c r="D50" s="123">
        <f>VLOOKUP(B50,$L$16:$N$64,2,FALSE)</f>
        <v>0.16</v>
      </c>
      <c r="E50" s="124">
        <f t="shared" si="16"/>
        <v>0</v>
      </c>
      <c r="F50" s="124">
        <f>VLOOKUP(B50,$L$16:$N$64,3,FALSE)</f>
        <v>81</v>
      </c>
      <c r="G50" s="140">
        <f t="shared" si="17"/>
        <v>0</v>
      </c>
      <c r="H50" s="29"/>
      <c r="I50" s="29"/>
      <c r="J50" s="29"/>
      <c r="K50" s="29"/>
      <c r="L50" s="18" t="s">
        <v>757</v>
      </c>
      <c r="M50" s="133">
        <v>0.9</v>
      </c>
      <c r="N50" s="141">
        <v>459</v>
      </c>
    </row>
    <row r="51" spans="1:14" ht="15.75" thickBot="1" x14ac:dyDescent="0.3">
      <c r="A51" s="5"/>
      <c r="B51" s="6" t="s">
        <v>688</v>
      </c>
      <c r="C51" s="143">
        <f>'FEUILLE SAISIE'!C52</f>
        <v>0</v>
      </c>
      <c r="D51" s="144">
        <f>VLOOKUP(B51,$L$16:$N$64,2,FALSE)</f>
        <v>0.1</v>
      </c>
      <c r="E51" s="145">
        <f t="shared" si="16"/>
        <v>0</v>
      </c>
      <c r="F51" s="145">
        <f>VLOOKUP(B51,$L$16:$N$64,3,FALSE)</f>
        <v>50</v>
      </c>
      <c r="G51" s="146">
        <f t="shared" si="17"/>
        <v>0</v>
      </c>
      <c r="H51" s="29"/>
      <c r="I51" s="29"/>
      <c r="J51" s="29"/>
      <c r="K51" s="29"/>
      <c r="L51" s="18" t="s">
        <v>758</v>
      </c>
      <c r="M51" s="133">
        <v>0.6</v>
      </c>
      <c r="N51" s="141">
        <v>306</v>
      </c>
    </row>
    <row r="52" spans="1:14" ht="15.75" thickBot="1" x14ac:dyDescent="0.3">
      <c r="A52" s="20"/>
      <c r="B52" s="21" t="s">
        <v>689</v>
      </c>
      <c r="C52" s="127"/>
      <c r="D52" s="128"/>
      <c r="E52" s="129"/>
      <c r="F52" s="129"/>
      <c r="G52" s="142"/>
      <c r="H52" s="29"/>
      <c r="I52" s="29"/>
      <c r="J52" s="29"/>
      <c r="K52" s="29"/>
      <c r="L52" s="18" t="s">
        <v>686</v>
      </c>
      <c r="M52" s="133">
        <v>0.17</v>
      </c>
      <c r="N52" s="141">
        <v>85</v>
      </c>
    </row>
    <row r="53" spans="1:14" ht="15.75" thickBot="1" x14ac:dyDescent="0.3">
      <c r="A53" s="5"/>
      <c r="B53" s="6" t="s">
        <v>765</v>
      </c>
      <c r="C53" s="122">
        <f>'FEUILLE SAISIE'!C54</f>
        <v>0</v>
      </c>
      <c r="D53" s="123">
        <f t="shared" ref="D53:D58" si="18">VLOOKUP(B53,$L$16:$N$64,2,FALSE)</f>
        <v>0.15</v>
      </c>
      <c r="E53" s="124">
        <f t="shared" ref="E53" si="19">C53*D53</f>
        <v>0</v>
      </c>
      <c r="F53" s="124">
        <f t="shared" ref="F53:F58" si="20">VLOOKUP(B53,$L$16:$N$64,3,FALSE)</f>
        <v>77</v>
      </c>
      <c r="G53" s="140">
        <f t="shared" ref="G53" si="21">C53*F53</f>
        <v>0</v>
      </c>
      <c r="H53" s="29"/>
      <c r="I53" s="29"/>
      <c r="J53" s="29"/>
      <c r="K53" s="29"/>
      <c r="L53" s="18" t="s">
        <v>687</v>
      </c>
      <c r="M53" s="133">
        <v>0.16</v>
      </c>
      <c r="N53" s="141">
        <v>81</v>
      </c>
    </row>
    <row r="54" spans="1:14" ht="15.75" thickBot="1" x14ac:dyDescent="0.3">
      <c r="A54" s="5"/>
      <c r="B54" s="6" t="s">
        <v>760</v>
      </c>
      <c r="C54" s="122">
        <f>'FEUILLE SAISIE'!C55</f>
        <v>0</v>
      </c>
      <c r="D54" s="123">
        <f t="shared" si="18"/>
        <v>0.16</v>
      </c>
      <c r="E54" s="124">
        <f t="shared" ref="E54:E58" si="22">C54*D54</f>
        <v>0</v>
      </c>
      <c r="F54" s="124">
        <f t="shared" si="20"/>
        <v>126</v>
      </c>
      <c r="G54" s="140">
        <f t="shared" ref="G54:G58" si="23">C54*F54</f>
        <v>0</v>
      </c>
      <c r="H54" s="29"/>
      <c r="I54" s="29"/>
      <c r="J54" s="29"/>
      <c r="K54" s="29"/>
      <c r="L54" s="18" t="s">
        <v>688</v>
      </c>
      <c r="M54" s="133">
        <v>0.1</v>
      </c>
      <c r="N54" s="141">
        <v>50</v>
      </c>
    </row>
    <row r="55" spans="1:14" ht="15.75" thickBot="1" x14ac:dyDescent="0.3">
      <c r="A55" s="5"/>
      <c r="B55" s="6" t="s">
        <v>761</v>
      </c>
      <c r="C55" s="122">
        <f>'FEUILLE SAISIE'!C56</f>
        <v>0</v>
      </c>
      <c r="D55" s="123">
        <f t="shared" si="18"/>
        <v>0.13</v>
      </c>
      <c r="E55" s="124">
        <f t="shared" si="22"/>
        <v>0</v>
      </c>
      <c r="F55" s="124">
        <f t="shared" si="20"/>
        <v>109</v>
      </c>
      <c r="G55" s="140">
        <f t="shared" si="23"/>
        <v>0</v>
      </c>
      <c r="H55" s="29"/>
      <c r="I55" s="29"/>
      <c r="J55" s="29"/>
      <c r="K55" s="29"/>
      <c r="L55" s="18" t="s">
        <v>765</v>
      </c>
      <c r="M55" s="133">
        <v>0.15</v>
      </c>
      <c r="N55" s="141">
        <v>77</v>
      </c>
    </row>
    <row r="56" spans="1:14" ht="15.75" thickBot="1" x14ac:dyDescent="0.3">
      <c r="A56" s="5"/>
      <c r="B56" s="6" t="s">
        <v>762</v>
      </c>
      <c r="C56" s="122">
        <f>'FEUILLE SAISIE'!C57</f>
        <v>0</v>
      </c>
      <c r="D56" s="123">
        <f t="shared" si="18"/>
        <v>0.12</v>
      </c>
      <c r="E56" s="124">
        <f t="shared" si="22"/>
        <v>0</v>
      </c>
      <c r="F56" s="124">
        <f t="shared" si="20"/>
        <v>97</v>
      </c>
      <c r="G56" s="140">
        <f t="shared" si="23"/>
        <v>0</v>
      </c>
      <c r="H56" s="29"/>
      <c r="I56" s="29"/>
      <c r="J56" s="29"/>
      <c r="K56" s="29"/>
      <c r="L56" s="18" t="s">
        <v>760</v>
      </c>
      <c r="M56" s="133">
        <v>0.16</v>
      </c>
      <c r="N56" s="141">
        <v>126</v>
      </c>
    </row>
    <row r="57" spans="1:14" ht="15.75" thickBot="1" x14ac:dyDescent="0.3">
      <c r="A57" s="5"/>
      <c r="B57" s="6" t="s">
        <v>763</v>
      </c>
      <c r="C57" s="122">
        <f>'FEUILLE SAISIE'!C58</f>
        <v>0</v>
      </c>
      <c r="D57" s="123">
        <f t="shared" si="18"/>
        <v>0.03</v>
      </c>
      <c r="E57" s="124">
        <f t="shared" si="22"/>
        <v>0</v>
      </c>
      <c r="F57" s="124">
        <f t="shared" si="20"/>
        <v>15</v>
      </c>
      <c r="G57" s="140">
        <f t="shared" si="23"/>
        <v>0</v>
      </c>
      <c r="H57" s="29"/>
      <c r="I57" s="29"/>
      <c r="J57" s="29"/>
      <c r="K57" s="29"/>
      <c r="L57" s="18" t="s">
        <v>761</v>
      </c>
      <c r="M57" s="133">
        <v>0.13</v>
      </c>
      <c r="N57" s="141">
        <v>109</v>
      </c>
    </row>
    <row r="58" spans="1:14" ht="15.75" thickBot="1" x14ac:dyDescent="0.3">
      <c r="A58" s="5"/>
      <c r="B58" s="6" t="s">
        <v>764</v>
      </c>
      <c r="C58" s="122">
        <f>'FEUILLE SAISIE'!C59</f>
        <v>0</v>
      </c>
      <c r="D58" s="123">
        <f t="shared" si="18"/>
        <v>0.03</v>
      </c>
      <c r="E58" s="124">
        <f t="shared" si="22"/>
        <v>0</v>
      </c>
      <c r="F58" s="124">
        <f t="shared" si="20"/>
        <v>15</v>
      </c>
      <c r="G58" s="140">
        <f t="shared" si="23"/>
        <v>0</v>
      </c>
      <c r="H58" s="29"/>
      <c r="I58" s="29"/>
      <c r="J58" s="29"/>
      <c r="K58" s="29"/>
      <c r="L58" s="18" t="s">
        <v>762</v>
      </c>
      <c r="M58" s="133">
        <v>0.12</v>
      </c>
      <c r="N58" s="141">
        <v>97</v>
      </c>
    </row>
    <row r="59" spans="1:14" ht="15.75" thickBot="1" x14ac:dyDescent="0.3">
      <c r="A59" s="20"/>
      <c r="B59" s="21" t="s">
        <v>690</v>
      </c>
      <c r="C59" s="127"/>
      <c r="D59" s="128"/>
      <c r="E59" s="129"/>
      <c r="F59" s="129"/>
      <c r="G59" s="142"/>
      <c r="H59" s="29"/>
      <c r="I59" s="29"/>
      <c r="J59" s="29"/>
      <c r="K59" s="29"/>
      <c r="L59" s="18" t="s">
        <v>763</v>
      </c>
      <c r="M59" s="133">
        <v>0.03</v>
      </c>
      <c r="N59" s="141">
        <v>15</v>
      </c>
    </row>
    <row r="60" spans="1:14" ht="15.75" thickBot="1" x14ac:dyDescent="0.3">
      <c r="A60" s="5"/>
      <c r="B60" s="6" t="s">
        <v>691</v>
      </c>
      <c r="C60" s="122">
        <f>'FEUILLE SAISIE'!C61</f>
        <v>0</v>
      </c>
      <c r="D60" s="123">
        <f>VLOOKUP(B60,$L$16:$N$64,2,FALSE)</f>
        <v>0.17</v>
      </c>
      <c r="E60" s="124">
        <f t="shared" ref="E60" si="24">C60*D60</f>
        <v>0</v>
      </c>
      <c r="F60" s="124">
        <f>VLOOKUP(B60,$L$16:$N$64,3,FALSE)</f>
        <v>87</v>
      </c>
      <c r="G60" s="140">
        <f t="shared" ref="G60" si="25">C60*F60</f>
        <v>0</v>
      </c>
      <c r="H60" s="29"/>
      <c r="I60" s="29"/>
      <c r="J60" s="29"/>
      <c r="K60" s="29"/>
      <c r="L60" s="18" t="s">
        <v>764</v>
      </c>
      <c r="M60" s="133">
        <v>0.03</v>
      </c>
      <c r="N60" s="141">
        <v>15</v>
      </c>
    </row>
    <row r="61" spans="1:14" ht="15.75" thickBot="1" x14ac:dyDescent="0.3">
      <c r="A61" s="5"/>
      <c r="B61" s="6" t="s">
        <v>766</v>
      </c>
      <c r="C61" s="122">
        <f>'FEUILLE SAISIE'!C62</f>
        <v>0</v>
      </c>
      <c r="D61" s="123">
        <f>VLOOKUP(B61,$L$16:$N$64,2,FALSE)</f>
        <v>0.17</v>
      </c>
      <c r="E61" s="124">
        <f t="shared" ref="E61:E63" si="26">C61*D61</f>
        <v>0</v>
      </c>
      <c r="F61" s="124">
        <f>VLOOKUP(B61,$L$16:$N$64,3,FALSE)</f>
        <v>156</v>
      </c>
      <c r="G61" s="140">
        <f t="shared" ref="G61:G63" si="27">C61*F61</f>
        <v>0</v>
      </c>
      <c r="H61" s="29"/>
      <c r="I61" s="29"/>
      <c r="J61" s="29"/>
      <c r="K61" s="29"/>
      <c r="L61" s="18" t="s">
        <v>691</v>
      </c>
      <c r="M61" s="133">
        <v>0.17</v>
      </c>
      <c r="N61" s="141">
        <v>87</v>
      </c>
    </row>
    <row r="62" spans="1:14" ht="15.75" thickBot="1" x14ac:dyDescent="0.3">
      <c r="A62" s="5"/>
      <c r="B62" s="6" t="s">
        <v>692</v>
      </c>
      <c r="C62" s="143">
        <f>'FEUILLE SAISIE'!C63</f>
        <v>0</v>
      </c>
      <c r="D62" s="144">
        <f>VLOOKUP(B62,$L$16:$N$64,2,FALSE)</f>
        <v>0.09</v>
      </c>
      <c r="E62" s="145">
        <f t="shared" si="26"/>
        <v>0</v>
      </c>
      <c r="F62" s="145">
        <f>VLOOKUP(B62,$L$16:$N$64,3,FALSE)</f>
        <v>46</v>
      </c>
      <c r="G62" s="146">
        <f t="shared" si="27"/>
        <v>0</v>
      </c>
      <c r="H62" s="29"/>
      <c r="I62" s="29"/>
      <c r="J62" s="29"/>
      <c r="K62" s="29"/>
      <c r="L62" s="18" t="s">
        <v>766</v>
      </c>
      <c r="M62" s="133">
        <v>0.17</v>
      </c>
      <c r="N62" s="141">
        <v>156</v>
      </c>
    </row>
    <row r="63" spans="1:14" ht="15.75" thickBot="1" x14ac:dyDescent="0.3">
      <c r="A63" s="5"/>
      <c r="B63" s="6" t="s">
        <v>767</v>
      </c>
      <c r="C63" s="147">
        <f>'FEUILLE SAISIE'!C64</f>
        <v>0</v>
      </c>
      <c r="D63" s="148">
        <f>VLOOKUP(B63,$L$16:$N$64,2,FALSE)</f>
        <v>0.09</v>
      </c>
      <c r="E63" s="149">
        <f t="shared" si="26"/>
        <v>0</v>
      </c>
      <c r="F63" s="149">
        <f>VLOOKUP(B63,$L$16:$N$64,3,FALSE)</f>
        <v>46</v>
      </c>
      <c r="G63" s="142">
        <f t="shared" si="27"/>
        <v>0</v>
      </c>
      <c r="H63" s="29"/>
      <c r="I63" s="29"/>
      <c r="J63" s="29"/>
      <c r="K63" s="29"/>
      <c r="L63" s="18" t="s">
        <v>692</v>
      </c>
      <c r="M63" s="133">
        <v>0.09</v>
      </c>
      <c r="N63" s="141">
        <v>46</v>
      </c>
    </row>
    <row r="64" spans="1:14" x14ac:dyDescent="0.25">
      <c r="A64" s="1"/>
      <c r="B64" s="18"/>
      <c r="C64" s="118"/>
      <c r="L64" s="18" t="s">
        <v>767</v>
      </c>
      <c r="M64" s="133">
        <v>0.09</v>
      </c>
      <c r="N64" s="141">
        <v>46</v>
      </c>
    </row>
    <row r="65" spans="1:9" x14ac:dyDescent="0.25">
      <c r="A65" s="119"/>
      <c r="B65" s="15" t="s">
        <v>9</v>
      </c>
      <c r="C65" s="44" t="e">
        <f>SUM(E16:E63)</f>
        <v>#N/A</v>
      </c>
      <c r="D65" s="3"/>
    </row>
    <row r="66" spans="1:9" x14ac:dyDescent="0.25">
      <c r="A66" s="43"/>
      <c r="B66" s="15" t="s">
        <v>126</v>
      </c>
      <c r="C66" s="150" t="e">
        <f>SUM(G16:G63)</f>
        <v>#N/A</v>
      </c>
      <c r="D66" s="3"/>
    </row>
    <row r="67" spans="1:9" x14ac:dyDescent="0.25">
      <c r="A67" s="43"/>
      <c r="B67" s="15" t="s">
        <v>11</v>
      </c>
      <c r="C67" s="44" t="e">
        <f>C66/C65</f>
        <v>#N/A</v>
      </c>
      <c r="D67" s="3"/>
    </row>
    <row r="68" spans="1:9" x14ac:dyDescent="0.25">
      <c r="A68" s="18"/>
      <c r="B68" s="6"/>
      <c r="C68" s="45"/>
    </row>
    <row r="69" spans="1:9" x14ac:dyDescent="0.25">
      <c r="A69" s="18"/>
      <c r="B69" s="6"/>
      <c r="C69" s="45"/>
    </row>
    <row r="70" spans="1:9" ht="18.75" x14ac:dyDescent="0.3">
      <c r="A70" s="19" t="s">
        <v>95</v>
      </c>
      <c r="I70" s="35"/>
    </row>
    <row r="71" spans="1:9" ht="15.75" thickBot="1" x14ac:dyDescent="0.3">
      <c r="E71" s="18"/>
      <c r="F71" s="35"/>
      <c r="G71" s="35"/>
      <c r="H71" s="35"/>
      <c r="I71" s="35"/>
    </row>
    <row r="72" spans="1:9" ht="15.75" thickBot="1" x14ac:dyDescent="0.3">
      <c r="B72" s="18" t="s">
        <v>12</v>
      </c>
      <c r="C72" s="38">
        <f>'FEUILLE SAISIE'!C68</f>
        <v>0</v>
      </c>
      <c r="D72" t="s">
        <v>13</v>
      </c>
      <c r="E72" s="18"/>
      <c r="F72" s="35"/>
      <c r="G72" s="35"/>
      <c r="H72" s="35"/>
      <c r="I72" s="35"/>
    </row>
    <row r="73" spans="1:9" ht="15.75" thickBot="1" x14ac:dyDescent="0.3">
      <c r="E73" s="18"/>
      <c r="F73" s="35"/>
      <c r="G73" s="35"/>
      <c r="H73" s="35"/>
      <c r="I73" s="35"/>
    </row>
    <row r="74" spans="1:9" ht="15.75" thickBot="1" x14ac:dyDescent="0.3">
      <c r="A74" s="427" t="s">
        <v>14</v>
      </c>
      <c r="B74" s="489"/>
      <c r="C74" s="38">
        <f>'FEUILLE SAISIE'!C70</f>
        <v>0</v>
      </c>
      <c r="D74" t="s">
        <v>13</v>
      </c>
      <c r="E74" s="36" t="s">
        <v>693</v>
      </c>
      <c r="F74" s="35"/>
      <c r="G74" s="35"/>
      <c r="H74" s="35"/>
    </row>
    <row r="75" spans="1:9" ht="15.75" thickBot="1" x14ac:dyDescent="0.3">
      <c r="E75" s="18"/>
      <c r="F75" s="35"/>
      <c r="G75" s="35"/>
      <c r="H75" s="35"/>
    </row>
    <row r="76" spans="1:9" ht="15.75" thickBot="1" x14ac:dyDescent="0.3">
      <c r="A76" s="37"/>
      <c r="B76" s="75" t="s">
        <v>16</v>
      </c>
      <c r="C76" s="38">
        <f>C72-C74</f>
        <v>0</v>
      </c>
      <c r="D76" t="s">
        <v>13</v>
      </c>
      <c r="E76" s="18"/>
      <c r="F76" s="35"/>
      <c r="G76" s="35"/>
      <c r="H76" s="35"/>
    </row>
    <row r="77" spans="1:9" ht="15.75" thickBot="1" x14ac:dyDescent="0.3">
      <c r="E77" s="18"/>
      <c r="F77" s="35"/>
      <c r="G77" s="35"/>
      <c r="H77" s="35"/>
    </row>
    <row r="78" spans="1:9" ht="14.65" customHeight="1" thickBot="1" x14ac:dyDescent="0.3">
      <c r="A78" s="427" t="s">
        <v>719</v>
      </c>
      <c r="B78" s="427"/>
      <c r="C78" s="38">
        <f>'FEUILLE SAISIE'!C74</f>
        <v>0</v>
      </c>
      <c r="D78" t="s">
        <v>13</v>
      </c>
      <c r="E78" s="39" t="s">
        <v>720</v>
      </c>
      <c r="F78" s="35"/>
      <c r="G78" s="35"/>
      <c r="H78" s="35"/>
    </row>
    <row r="79" spans="1:9" ht="14.65" customHeight="1" thickBot="1" x14ac:dyDescent="0.3">
      <c r="A79" s="427" t="s">
        <v>717</v>
      </c>
      <c r="B79" s="427"/>
      <c r="C79" s="38">
        <f>'FEUILLE SAISIE'!C75</f>
        <v>0</v>
      </c>
      <c r="D79" t="s">
        <v>13</v>
      </c>
      <c r="E79" s="39" t="s">
        <v>718</v>
      </c>
      <c r="F79" s="35"/>
      <c r="G79" s="35"/>
      <c r="H79" s="35"/>
    </row>
    <row r="80" spans="1:9" ht="15.75" thickBot="1" x14ac:dyDescent="0.3">
      <c r="E80" s="18"/>
      <c r="F80" s="35"/>
      <c r="G80" s="35"/>
      <c r="H80" s="35"/>
    </row>
    <row r="81" spans="1:9" ht="15.75" thickBot="1" x14ac:dyDescent="0.3">
      <c r="A81" s="134"/>
      <c r="B81" s="75" t="s">
        <v>17</v>
      </c>
      <c r="C81" s="38">
        <f>C76-C78-C79</f>
        <v>0</v>
      </c>
      <c r="D81" t="s">
        <v>13</v>
      </c>
      <c r="E81" s="18"/>
      <c r="F81" s="35"/>
      <c r="G81" s="35"/>
      <c r="H81" s="35"/>
    </row>
    <row r="82" spans="1:9" ht="15.75" thickBot="1" x14ac:dyDescent="0.3">
      <c r="E82" s="18"/>
      <c r="F82" s="18" t="s">
        <v>18</v>
      </c>
      <c r="G82" s="38">
        <f>'FEUILLE SAISIE'!G78</f>
        <v>0</v>
      </c>
      <c r="H82" s="40" t="s">
        <v>13</v>
      </c>
    </row>
    <row r="83" spans="1:9" ht="25.35" customHeight="1" thickBot="1" x14ac:dyDescent="0.3">
      <c r="A83" s="427" t="s">
        <v>695</v>
      </c>
      <c r="B83" s="427"/>
      <c r="C83" s="135">
        <f>'FEUILLE SAISIE'!C79</f>
        <v>0</v>
      </c>
      <c r="D83" t="s">
        <v>13</v>
      </c>
      <c r="F83" s="136" t="s">
        <v>19</v>
      </c>
      <c r="G83" s="135">
        <f>'FEUILLE SAISIE'!G79</f>
        <v>0</v>
      </c>
      <c r="H83" s="137" t="s">
        <v>13</v>
      </c>
    </row>
    <row r="84" spans="1:9" ht="15.75" thickBot="1" x14ac:dyDescent="0.3">
      <c r="E84" s="18"/>
      <c r="F84" s="18" t="s">
        <v>20</v>
      </c>
      <c r="G84" s="38">
        <f>'FEUILLE SAISIE'!G80</f>
        <v>0</v>
      </c>
      <c r="H84" s="40" t="s">
        <v>13</v>
      </c>
    </row>
    <row r="85" spans="1:9" ht="15.75" thickBot="1" x14ac:dyDescent="0.3">
      <c r="A85" s="428" t="s">
        <v>21</v>
      </c>
      <c r="B85" s="490"/>
      <c r="C85" s="38">
        <f>C81-C83</f>
        <v>0</v>
      </c>
      <c r="D85" t="s">
        <v>13</v>
      </c>
      <c r="E85" s="18"/>
      <c r="G85" s="35"/>
      <c r="H85" s="35"/>
    </row>
    <row r="86" spans="1:9" ht="15.75" thickBot="1" x14ac:dyDescent="0.3">
      <c r="E86" s="18"/>
      <c r="F86" s="18" t="s">
        <v>22</v>
      </c>
      <c r="G86" s="38">
        <f>'FEUILLE SAISIE'!G84</f>
        <v>0</v>
      </c>
      <c r="H86" s="35"/>
    </row>
    <row r="87" spans="1:9" ht="14.65" customHeight="1" thickBot="1" x14ac:dyDescent="0.3">
      <c r="A87" s="427" t="s">
        <v>721</v>
      </c>
      <c r="B87" s="427"/>
      <c r="C87" s="38">
        <f>'FEUILLE SAISIE'!C85</f>
        <v>0</v>
      </c>
      <c r="D87" t="s">
        <v>13</v>
      </c>
      <c r="F87" s="18" t="s">
        <v>23</v>
      </c>
      <c r="G87" s="135">
        <f>'FEUILLE SAISIE'!G85</f>
        <v>0</v>
      </c>
      <c r="H87" s="35"/>
    </row>
    <row r="88" spans="1:9" ht="15.75" thickBot="1" x14ac:dyDescent="0.3">
      <c r="E88" s="18"/>
      <c r="F88" s="18" t="s">
        <v>24</v>
      </c>
      <c r="G88" s="38">
        <f>'FEUILLE SAISIE'!G86</f>
        <v>0</v>
      </c>
      <c r="H88" s="35"/>
    </row>
    <row r="89" spans="1:9" x14ac:dyDescent="0.25">
      <c r="E89" s="18"/>
      <c r="F89" s="35"/>
      <c r="G89" s="35"/>
      <c r="H89" s="35"/>
    </row>
    <row r="90" spans="1:9" ht="18.75" x14ac:dyDescent="0.3">
      <c r="A90" s="19" t="s">
        <v>321</v>
      </c>
      <c r="E90" s="18"/>
      <c r="F90" s="35"/>
      <c r="G90" s="35"/>
      <c r="H90" s="35"/>
    </row>
    <row r="91" spans="1:9" ht="18.75" x14ac:dyDescent="0.3">
      <c r="A91" s="19"/>
      <c r="E91" s="18"/>
      <c r="F91" s="35"/>
      <c r="G91" s="35"/>
      <c r="H91" s="35"/>
      <c r="I91" s="35"/>
    </row>
    <row r="92" spans="1:9" x14ac:dyDescent="0.25">
      <c r="B92" s="47" t="s">
        <v>323</v>
      </c>
      <c r="C92" s="48"/>
      <c r="D92" s="48"/>
      <c r="E92" s="48"/>
      <c r="F92" s="18"/>
      <c r="G92" s="35"/>
      <c r="H92" s="35"/>
      <c r="I92" s="35"/>
    </row>
    <row r="93" spans="1:9" x14ac:dyDescent="0.25">
      <c r="B93" s="48"/>
      <c r="C93" s="48"/>
      <c r="D93" s="48"/>
      <c r="E93" s="48"/>
      <c r="F93" s="18"/>
      <c r="G93" s="35"/>
      <c r="H93" s="35"/>
      <c r="I93" s="35"/>
    </row>
    <row r="94" spans="1:9" ht="42.75" x14ac:dyDescent="0.25">
      <c r="B94" s="49" t="s">
        <v>305</v>
      </c>
      <c r="C94" s="50" t="s">
        <v>306</v>
      </c>
      <c r="D94" s="50" t="s">
        <v>307</v>
      </c>
      <c r="E94" s="50" t="s">
        <v>308</v>
      </c>
      <c r="F94" s="18"/>
      <c r="G94" s="35"/>
      <c r="H94" s="35"/>
      <c r="I94" s="35"/>
    </row>
    <row r="95" spans="1:9" x14ac:dyDescent="0.25">
      <c r="B95" s="51" t="s">
        <v>309</v>
      </c>
      <c r="C95" s="151">
        <f>'FEUILLE SAISIE'!B141</f>
        <v>0</v>
      </c>
      <c r="D95" s="152">
        <v>10.7</v>
      </c>
      <c r="E95" s="153">
        <f>IF(C95="","",C95*D95)</f>
        <v>0</v>
      </c>
      <c r="F95" s="18"/>
      <c r="G95" s="35"/>
      <c r="H95" s="35"/>
      <c r="I95" s="35"/>
    </row>
    <row r="96" spans="1:9" x14ac:dyDescent="0.25">
      <c r="B96" s="51" t="s">
        <v>310</v>
      </c>
      <c r="C96" s="151">
        <f>'FEUILLE SAISIE'!B142</f>
        <v>0</v>
      </c>
      <c r="D96" s="152">
        <v>9.6999999999999993</v>
      </c>
      <c r="E96" s="153">
        <f t="shared" ref="E96:E98" si="28">IF(C96="","",C96*D96)</f>
        <v>0</v>
      </c>
      <c r="F96" s="18"/>
      <c r="G96" s="35"/>
      <c r="H96" s="35"/>
      <c r="I96" s="35"/>
    </row>
    <row r="97" spans="2:8" x14ac:dyDescent="0.25">
      <c r="B97" s="51" t="s">
        <v>315</v>
      </c>
      <c r="C97" s="151">
        <f>'FEUILLE SAISIE'!B143</f>
        <v>0</v>
      </c>
      <c r="D97" s="152">
        <v>9.8000000000000007</v>
      </c>
      <c r="E97" s="153">
        <f t="shared" si="28"/>
        <v>0</v>
      </c>
      <c r="F97" s="18"/>
      <c r="G97" s="35"/>
      <c r="H97" s="35"/>
    </row>
    <row r="98" spans="2:8" x14ac:dyDescent="0.25">
      <c r="B98" s="51" t="s">
        <v>316</v>
      </c>
      <c r="C98" s="151">
        <f>'FEUILLE SAISIE'!B144</f>
        <v>0</v>
      </c>
      <c r="D98" s="152">
        <v>10</v>
      </c>
      <c r="E98" s="153">
        <f t="shared" si="28"/>
        <v>0</v>
      </c>
    </row>
    <row r="99" spans="2:8" x14ac:dyDescent="0.25">
      <c r="B99" s="51" t="s">
        <v>311</v>
      </c>
      <c r="C99" s="151">
        <f>'FEUILLE SAISIE'!B145</f>
        <v>0</v>
      </c>
      <c r="D99" s="152">
        <v>22.2</v>
      </c>
      <c r="E99" s="153">
        <f>IF(C99="","",C99*D99)</f>
        <v>0</v>
      </c>
    </row>
    <row r="100" spans="2:8" x14ac:dyDescent="0.25">
      <c r="B100" s="51" t="s">
        <v>312</v>
      </c>
      <c r="C100" s="151">
        <f>'FEUILLE SAISIE'!B146</f>
        <v>0</v>
      </c>
      <c r="D100" s="152">
        <v>26.1</v>
      </c>
      <c r="E100" s="153">
        <f>IF(C100="","",C100*D100)</f>
        <v>0</v>
      </c>
    </row>
    <row r="101" spans="2:8" ht="15.75" thickBot="1" x14ac:dyDescent="0.3">
      <c r="B101" s="51" t="s">
        <v>313</v>
      </c>
      <c r="C101" s="151">
        <f>'FEUILLE SAISIE'!B147</f>
        <v>0</v>
      </c>
      <c r="D101" s="152">
        <v>34.6</v>
      </c>
      <c r="E101" s="153">
        <f>IF(C101="","",C101*D101)</f>
        <v>0</v>
      </c>
    </row>
    <row r="102" spans="2:8" ht="15.75" thickBot="1" x14ac:dyDescent="0.3">
      <c r="B102" s="48"/>
      <c r="C102" s="48"/>
      <c r="D102" s="154" t="s">
        <v>314</v>
      </c>
      <c r="E102" s="155" t="str">
        <f>IF(SUM(E95:E101)=0,"",SUM(E95:E101))</f>
        <v/>
      </c>
    </row>
    <row r="105" spans="2:8" x14ac:dyDescent="0.25">
      <c r="B105" s="47" t="s">
        <v>322</v>
      </c>
      <c r="C105" s="48"/>
      <c r="D105" s="48"/>
      <c r="E105" s="34"/>
    </row>
    <row r="106" spans="2:8" x14ac:dyDescent="0.25">
      <c r="B106" s="48"/>
      <c r="C106" s="48"/>
      <c r="D106" s="48"/>
      <c r="E106" s="34"/>
    </row>
    <row r="107" spans="2:8" ht="42.75" x14ac:dyDescent="0.25">
      <c r="C107" s="530" t="s">
        <v>305</v>
      </c>
      <c r="D107" s="529"/>
      <c r="E107" s="50" t="s">
        <v>317</v>
      </c>
      <c r="F107" s="50" t="s">
        <v>319</v>
      </c>
      <c r="G107" s="50" t="s">
        <v>318</v>
      </c>
    </row>
    <row r="108" spans="2:8" ht="19.899999999999999" customHeight="1" x14ac:dyDescent="0.25">
      <c r="B108">
        <v>1</v>
      </c>
      <c r="C108" s="528">
        <f>'FEUILLE SAISIE'!B157</f>
        <v>0</v>
      </c>
      <c r="D108" s="529"/>
      <c r="E108" s="156">
        <f>'FEUILLE SAISIE'!D157</f>
        <v>0</v>
      </c>
      <c r="F108" s="157" t="str">
        <f>IF(C108=0,"",VLOOKUP(C108,listes!$I$5:$O$64,7,FALSE))</f>
        <v/>
      </c>
      <c r="G108" s="158" t="str">
        <f>IF(C108=0,"",E108*F108)</f>
        <v/>
      </c>
    </row>
    <row r="109" spans="2:8" ht="19.899999999999999" customHeight="1" x14ac:dyDescent="0.25">
      <c r="B109">
        <v>2</v>
      </c>
      <c r="C109" s="528">
        <f>'FEUILLE SAISIE'!B158</f>
        <v>0</v>
      </c>
      <c r="D109" s="529"/>
      <c r="E109" s="156">
        <f>'FEUILLE SAISIE'!D158</f>
        <v>0</v>
      </c>
      <c r="F109" s="157" t="str">
        <f>IF(C109=0,"",VLOOKUP(C109,listes!$I$5:$O$64,7,FALSE))</f>
        <v/>
      </c>
      <c r="G109" s="158" t="str">
        <f t="shared" ref="G109:G117" si="29">IF(C109=0,"",E109*F109)</f>
        <v/>
      </c>
    </row>
    <row r="110" spans="2:8" ht="19.899999999999999" customHeight="1" x14ac:dyDescent="0.25">
      <c r="B110">
        <v>3</v>
      </c>
      <c r="C110" s="528">
        <f>'FEUILLE SAISIE'!B159</f>
        <v>0</v>
      </c>
      <c r="D110" s="529"/>
      <c r="E110" s="156">
        <f>'FEUILLE SAISIE'!D159</f>
        <v>0</v>
      </c>
      <c r="F110" s="157" t="str">
        <f>IF(C110=0,"",VLOOKUP(C110,listes!$I$5:$O$64,7,FALSE))</f>
        <v/>
      </c>
      <c r="G110" s="158" t="str">
        <f t="shared" si="29"/>
        <v/>
      </c>
    </row>
    <row r="111" spans="2:8" ht="19.899999999999999" customHeight="1" x14ac:dyDescent="0.25">
      <c r="B111">
        <v>4</v>
      </c>
      <c r="C111" s="528">
        <f>'FEUILLE SAISIE'!B160</f>
        <v>0</v>
      </c>
      <c r="D111" s="529"/>
      <c r="E111" s="156">
        <f>'FEUILLE SAISIE'!D160</f>
        <v>0</v>
      </c>
      <c r="F111" s="157" t="str">
        <f>IF(C111=0,"",VLOOKUP(C111,listes!$I$5:$O$64,7,FALSE))</f>
        <v/>
      </c>
      <c r="G111" s="158" t="str">
        <f t="shared" si="29"/>
        <v/>
      </c>
    </row>
    <row r="112" spans="2:8" ht="19.899999999999999" customHeight="1" x14ac:dyDescent="0.25">
      <c r="B112">
        <v>5</v>
      </c>
      <c r="C112" s="528">
        <f>'FEUILLE SAISIE'!B161</f>
        <v>0</v>
      </c>
      <c r="D112" s="529"/>
      <c r="E112" s="156">
        <f>'FEUILLE SAISIE'!D161</f>
        <v>0</v>
      </c>
      <c r="F112" s="157" t="str">
        <f>IF(C112=0,"",VLOOKUP(C112,listes!$I$5:$O$64,7,FALSE))</f>
        <v/>
      </c>
      <c r="G112" s="158" t="str">
        <f t="shared" si="29"/>
        <v/>
      </c>
    </row>
    <row r="113" spans="1:11" ht="19.899999999999999" customHeight="1" x14ac:dyDescent="0.25">
      <c r="B113">
        <v>6</v>
      </c>
      <c r="C113" s="528">
        <f>'FEUILLE SAISIE'!B162</f>
        <v>0</v>
      </c>
      <c r="D113" s="529"/>
      <c r="E113" s="156">
        <f>'FEUILLE SAISIE'!D162</f>
        <v>0</v>
      </c>
      <c r="F113" s="157" t="str">
        <f>IF(C113=0,"",VLOOKUP(C113,listes!$I$5:$O$64,7,FALSE))</f>
        <v/>
      </c>
      <c r="G113" s="158" t="str">
        <f t="shared" si="29"/>
        <v/>
      </c>
    </row>
    <row r="114" spans="1:11" x14ac:dyDescent="0.25">
      <c r="B114">
        <v>7</v>
      </c>
      <c r="C114" s="528">
        <f>'FEUILLE SAISIE'!B163</f>
        <v>0</v>
      </c>
      <c r="D114" s="529"/>
      <c r="E114" s="156">
        <f>'FEUILLE SAISIE'!D163</f>
        <v>0</v>
      </c>
      <c r="F114" s="157" t="str">
        <f>IF(C114=0,"",VLOOKUP(C114,listes!$I$5:$O$64,7,FALSE))</f>
        <v/>
      </c>
      <c r="G114" s="158" t="str">
        <f t="shared" si="29"/>
        <v/>
      </c>
    </row>
    <row r="115" spans="1:11" x14ac:dyDescent="0.25">
      <c r="B115">
        <v>8</v>
      </c>
      <c r="C115" s="528">
        <f>'FEUILLE SAISIE'!B164</f>
        <v>0</v>
      </c>
      <c r="D115" s="529"/>
      <c r="E115" s="156">
        <f>'FEUILLE SAISIE'!D164</f>
        <v>0</v>
      </c>
      <c r="F115" s="157" t="str">
        <f>IF(C115=0,"",VLOOKUP(C115,listes!$I$5:$O$64,7,FALSE))</f>
        <v/>
      </c>
      <c r="G115" s="158" t="str">
        <f t="shared" si="29"/>
        <v/>
      </c>
    </row>
    <row r="116" spans="1:11" x14ac:dyDescent="0.25">
      <c r="B116">
        <v>9</v>
      </c>
      <c r="C116" s="528">
        <f>'FEUILLE SAISIE'!B165</f>
        <v>0</v>
      </c>
      <c r="D116" s="529"/>
      <c r="E116" s="156">
        <f>'FEUILLE SAISIE'!D165</f>
        <v>0</v>
      </c>
      <c r="F116" s="157" t="str">
        <f>IF(C116=0,"",VLOOKUP(C116,listes!$I$5:$O$64,7,FALSE))</f>
        <v/>
      </c>
      <c r="G116" s="158" t="str">
        <f t="shared" si="29"/>
        <v/>
      </c>
    </row>
    <row r="117" spans="1:11" x14ac:dyDescent="0.25">
      <c r="B117">
        <v>10</v>
      </c>
      <c r="C117" s="528">
        <f>'FEUILLE SAISIE'!B166</f>
        <v>0</v>
      </c>
      <c r="D117" s="529"/>
      <c r="E117" s="156">
        <f>'FEUILLE SAISIE'!D166</f>
        <v>0</v>
      </c>
      <c r="F117" s="157" t="str">
        <f>IF(C117=0,"",VLOOKUP(C117,listes!$I$5:$O$64,7,FALSE))</f>
        <v/>
      </c>
      <c r="G117" s="158" t="str">
        <f t="shared" si="29"/>
        <v/>
      </c>
    </row>
    <row r="118" spans="1:11" ht="15.75" thickBot="1" x14ac:dyDescent="0.3">
      <c r="F118" s="154" t="s">
        <v>314</v>
      </c>
      <c r="G118" s="159">
        <f>SUM(G108:G117)</f>
        <v>0</v>
      </c>
    </row>
    <row r="120" spans="1:11" ht="18.75" x14ac:dyDescent="0.3">
      <c r="A120" s="19" t="s">
        <v>324</v>
      </c>
    </row>
    <row r="123" spans="1:11" ht="15.75" thickBot="1" x14ac:dyDescent="0.3"/>
    <row r="124" spans="1:11" ht="15.75" thickBot="1" x14ac:dyDescent="0.3">
      <c r="A124" s="483" t="s">
        <v>117</v>
      </c>
      <c r="B124" s="527"/>
      <c r="C124" s="527"/>
      <c r="D124" s="527"/>
      <c r="E124" s="527"/>
      <c r="F124" s="491"/>
      <c r="G124" s="485">
        <f>$C$72</f>
        <v>0</v>
      </c>
      <c r="H124" s="478"/>
      <c r="J124" s="18" t="s">
        <v>119</v>
      </c>
      <c r="K124" s="120">
        <f>$C$78</f>
        <v>0</v>
      </c>
    </row>
    <row r="125" spans="1:11" ht="15.75" thickBot="1" x14ac:dyDescent="0.3">
      <c r="A125" s="483" t="s">
        <v>118</v>
      </c>
      <c r="B125" s="527"/>
      <c r="C125" s="527"/>
      <c r="D125" s="527"/>
      <c r="E125" s="527"/>
      <c r="F125" s="491"/>
      <c r="G125" s="485">
        <f>$C$76</f>
        <v>0</v>
      </c>
      <c r="H125" s="478"/>
    </row>
    <row r="126" spans="1:11" ht="15.75" thickBot="1" x14ac:dyDescent="0.3">
      <c r="A126" s="483" t="s">
        <v>120</v>
      </c>
      <c r="B126" s="527"/>
      <c r="C126" s="527"/>
      <c r="D126" s="527"/>
      <c r="E126" s="527"/>
      <c r="F126" s="491"/>
      <c r="G126" s="485">
        <f>$C$81</f>
        <v>0</v>
      </c>
      <c r="H126" s="478"/>
    </row>
    <row r="127" spans="1:11" ht="15.75" thickBot="1" x14ac:dyDescent="0.3">
      <c r="A127" s="483" t="s">
        <v>121</v>
      </c>
      <c r="B127" s="527"/>
      <c r="C127" s="527"/>
      <c r="D127" s="527"/>
      <c r="E127" s="527"/>
      <c r="F127" s="491"/>
      <c r="G127" s="485" t="e">
        <f>$C$65</f>
        <v>#N/A</v>
      </c>
      <c r="H127" s="478"/>
    </row>
    <row r="128" spans="1:11" ht="15.75" thickBot="1" x14ac:dyDescent="0.3">
      <c r="A128" s="483" t="s">
        <v>69</v>
      </c>
      <c r="B128" s="527"/>
      <c r="C128" s="527"/>
      <c r="D128" s="527"/>
      <c r="E128" s="527"/>
      <c r="F128" s="491"/>
      <c r="G128" s="492" t="e">
        <f>G127/G125</f>
        <v>#N/A</v>
      </c>
      <c r="H128" s="493"/>
    </row>
    <row r="129" spans="1:8" ht="15.75" thickBot="1" x14ac:dyDescent="0.3">
      <c r="A129" s="483" t="s">
        <v>325</v>
      </c>
      <c r="B129" s="527"/>
      <c r="C129" s="527"/>
      <c r="D129" s="527"/>
      <c r="E129" s="527"/>
      <c r="F129" s="491"/>
      <c r="G129" s="533" t="e">
        <f>$C$66</f>
        <v>#N/A</v>
      </c>
      <c r="H129" s="534"/>
    </row>
    <row r="130" spans="1:8" ht="15.75" thickBot="1" x14ac:dyDescent="0.3">
      <c r="A130" s="483" t="s">
        <v>326</v>
      </c>
      <c r="B130" s="527"/>
      <c r="C130" s="527"/>
      <c r="D130" s="527"/>
      <c r="E130" s="527"/>
      <c r="F130" s="491"/>
      <c r="G130" s="533" t="e">
        <f>$C$67</f>
        <v>#N/A</v>
      </c>
      <c r="H130" s="534"/>
    </row>
    <row r="131" spans="1:8" ht="15.75" thickBot="1" x14ac:dyDescent="0.3">
      <c r="A131" s="483" t="s">
        <v>663</v>
      </c>
      <c r="B131" s="527"/>
      <c r="C131" s="527"/>
      <c r="D131" s="527"/>
      <c r="E131" s="527"/>
      <c r="F131" s="491"/>
      <c r="G131" s="533" t="str">
        <f>E102</f>
        <v/>
      </c>
      <c r="H131" s="534"/>
    </row>
    <row r="132" spans="1:8" ht="15.75" thickBot="1" x14ac:dyDescent="0.3">
      <c r="A132" s="483" t="s">
        <v>664</v>
      </c>
      <c r="B132" s="527"/>
      <c r="C132" s="527"/>
      <c r="D132" s="527"/>
      <c r="E132" s="527"/>
      <c r="F132" s="491"/>
      <c r="G132" s="533">
        <f>G118</f>
        <v>0</v>
      </c>
      <c r="H132" s="534"/>
    </row>
    <row r="133" spans="1:8" ht="15.75" thickBot="1" x14ac:dyDescent="0.3">
      <c r="A133" s="483" t="s">
        <v>662</v>
      </c>
      <c r="B133" s="527"/>
      <c r="C133" s="527"/>
      <c r="D133" s="527"/>
      <c r="E133" s="527"/>
      <c r="F133" s="491"/>
      <c r="G133" s="533" t="e">
        <f>G129-(G131+G132)</f>
        <v>#N/A</v>
      </c>
      <c r="H133" s="534"/>
    </row>
    <row r="134" spans="1:8" ht="15.75" thickBot="1" x14ac:dyDescent="0.3">
      <c r="A134" s="483" t="s">
        <v>665</v>
      </c>
      <c r="B134" s="527"/>
      <c r="C134" s="527"/>
      <c r="D134" s="527"/>
      <c r="E134" s="527"/>
      <c r="F134" s="491"/>
      <c r="G134" s="531" t="e">
        <f>G133/G129</f>
        <v>#N/A</v>
      </c>
      <c r="H134" s="532"/>
    </row>
    <row r="135" spans="1:8" ht="15.75" thickBot="1" x14ac:dyDescent="0.3">
      <c r="A135" s="483" t="s">
        <v>666</v>
      </c>
      <c r="B135" s="527"/>
      <c r="C135" s="527"/>
      <c r="D135" s="527"/>
      <c r="E135" s="527"/>
      <c r="F135" s="491"/>
      <c r="G135" s="531" t="e">
        <f>(G133+G131)/G129</f>
        <v>#N/A</v>
      </c>
      <c r="H135" s="532"/>
    </row>
  </sheetData>
  <mergeCells count="44">
    <mergeCell ref="G135:H135"/>
    <mergeCell ref="G132:H132"/>
    <mergeCell ref="G129:H129"/>
    <mergeCell ref="G130:H130"/>
    <mergeCell ref="G131:H131"/>
    <mergeCell ref="G133:H133"/>
    <mergeCell ref="G134:H134"/>
    <mergeCell ref="G128:H128"/>
    <mergeCell ref="C116:D116"/>
    <mergeCell ref="C117:D117"/>
    <mergeCell ref="G124:H124"/>
    <mergeCell ref="G125:H125"/>
    <mergeCell ref="A124:F124"/>
    <mergeCell ref="A125:F125"/>
    <mergeCell ref="A126:F126"/>
    <mergeCell ref="A127:F127"/>
    <mergeCell ref="A128:F128"/>
    <mergeCell ref="G126:H126"/>
    <mergeCell ref="G127:H127"/>
    <mergeCell ref="C112:D112"/>
    <mergeCell ref="C113:D113"/>
    <mergeCell ref="C114:D114"/>
    <mergeCell ref="C115:D115"/>
    <mergeCell ref="A83:B83"/>
    <mergeCell ref="A85:B85"/>
    <mergeCell ref="A87:B87"/>
    <mergeCell ref="C107:D107"/>
    <mergeCell ref="C108:D108"/>
    <mergeCell ref="C109:D109"/>
    <mergeCell ref="C110:D110"/>
    <mergeCell ref="C111:D111"/>
    <mergeCell ref="A79:B79"/>
    <mergeCell ref="B7:D7"/>
    <mergeCell ref="B8:D8"/>
    <mergeCell ref="B9:D9"/>
    <mergeCell ref="A74:B74"/>
    <mergeCell ref="A78:B78"/>
    <mergeCell ref="A135:F135"/>
    <mergeCell ref="A129:F129"/>
    <mergeCell ref="A130:F130"/>
    <mergeCell ref="A131:F131"/>
    <mergeCell ref="A132:F132"/>
    <mergeCell ref="A133:F133"/>
    <mergeCell ref="A134:F134"/>
  </mergeCells>
  <dataValidations count="1">
    <dataValidation type="list" allowBlank="1" showInputMessage="1" showErrorMessage="1" sqref="C108:C117" xr:uid="{4A8D0760-A4D4-4B93-B954-4F4B93ADC0C1}">
      <formula1>referenciel_aliments</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E1FB7-17D8-48BC-B7DE-D70D8BC5D593}">
  <dimension ref="A5:N237"/>
  <sheetViews>
    <sheetView topLeftCell="A211" workbookViewId="0">
      <selection activeCell="F75" sqref="F75"/>
    </sheetView>
  </sheetViews>
  <sheetFormatPr baseColWidth="10" defaultColWidth="11.140625" defaultRowHeight="15" x14ac:dyDescent="0.25"/>
  <cols>
    <col min="1" max="1" width="13.140625" customWidth="1"/>
    <col min="2" max="2" width="28.5703125" customWidth="1"/>
    <col min="4" max="9" width="12.42578125" customWidth="1"/>
  </cols>
  <sheetData>
    <row r="5" spans="1:12" ht="15.75" thickBot="1" x14ac:dyDescent="0.3"/>
    <row r="6" spans="1:12" ht="15.75" thickBot="1" x14ac:dyDescent="0.3">
      <c r="B6" s="18" t="s">
        <v>0</v>
      </c>
      <c r="C6" s="466">
        <f>'FEUILLE SAISIE'!B7</f>
        <v>0</v>
      </c>
      <c r="D6" s="467"/>
      <c r="E6" s="468"/>
    </row>
    <row r="7" spans="1:12" ht="15.75" thickBot="1" x14ac:dyDescent="0.3">
      <c r="B7" s="18" t="s">
        <v>73</v>
      </c>
      <c r="C7" s="466">
        <f>'FEUILLE SAISIE'!B8</f>
        <v>0</v>
      </c>
      <c r="D7" s="467"/>
      <c r="E7" s="468"/>
    </row>
    <row r="8" spans="1:12" ht="15.75" thickBot="1" x14ac:dyDescent="0.3">
      <c r="B8" s="18" t="s">
        <v>74</v>
      </c>
      <c r="C8" s="466">
        <f>'FEUILLE SAISIE'!B9</f>
        <v>0</v>
      </c>
      <c r="D8" s="467"/>
      <c r="E8" s="468"/>
    </row>
    <row r="9" spans="1:12" ht="15.75" thickBot="1" x14ac:dyDescent="0.3">
      <c r="B9" s="18" t="s">
        <v>1</v>
      </c>
      <c r="C9" s="121">
        <f>'FEUILLE SAISIE'!B10</f>
        <v>0</v>
      </c>
    </row>
    <row r="11" spans="1:12" ht="18" x14ac:dyDescent="0.25">
      <c r="A11" s="160" t="s">
        <v>402</v>
      </c>
    </row>
    <row r="12" spans="1:12" x14ac:dyDescent="0.25">
      <c r="A12" s="161" t="s">
        <v>403</v>
      </c>
    </row>
    <row r="15" spans="1:12" s="163" customFormat="1" ht="20.25" customHeight="1" x14ac:dyDescent="0.2">
      <c r="A15" s="537" t="s">
        <v>548</v>
      </c>
      <c r="B15" s="537"/>
      <c r="C15" s="537"/>
      <c r="D15" s="537"/>
      <c r="E15" s="537"/>
      <c r="F15" s="537"/>
      <c r="G15" s="537"/>
      <c r="H15" s="537"/>
      <c r="I15" s="537"/>
      <c r="J15" s="162"/>
      <c r="K15" s="162"/>
      <c r="L15" s="162"/>
    </row>
    <row r="16" spans="1:12" s="163" customFormat="1" ht="12.75" x14ac:dyDescent="0.2">
      <c r="A16" s="164"/>
      <c r="B16" s="161"/>
      <c r="C16" s="161"/>
      <c r="D16" s="161"/>
      <c r="E16" s="161"/>
      <c r="F16" s="161"/>
      <c r="G16" s="161"/>
      <c r="H16" s="161"/>
      <c r="I16" s="161"/>
      <c r="J16" s="161"/>
      <c r="K16" s="161"/>
      <c r="L16" s="161"/>
    </row>
    <row r="17" spans="1:11" s="163" customFormat="1" ht="12.75" x14ac:dyDescent="0.2">
      <c r="A17" s="161"/>
      <c r="B17" s="161"/>
      <c r="C17" s="161"/>
      <c r="D17" s="161"/>
      <c r="E17" s="161"/>
      <c r="F17" s="161"/>
      <c r="G17" s="161"/>
      <c r="H17" s="161"/>
      <c r="I17" s="161"/>
      <c r="J17" s="161"/>
      <c r="K17" s="161"/>
    </row>
    <row r="18" spans="1:11" s="163" customFormat="1" ht="26.25" thickBot="1" x14ac:dyDescent="0.3">
      <c r="B18" s="538" t="s">
        <v>549</v>
      </c>
      <c r="C18" s="539"/>
      <c r="D18" s="165" t="s">
        <v>550</v>
      </c>
      <c r="E18" s="166" t="s">
        <v>331</v>
      </c>
      <c r="F18" s="166" t="s">
        <v>551</v>
      </c>
      <c r="G18" s="166" t="s">
        <v>552</v>
      </c>
      <c r="H18" s="167" t="s">
        <v>331</v>
      </c>
      <c r="I18" s="167" t="s">
        <v>551</v>
      </c>
      <c r="J18" s="167" t="s">
        <v>552</v>
      </c>
      <c r="K18" s="161"/>
    </row>
    <row r="19" spans="1:11" s="163" customFormat="1" ht="25.5" x14ac:dyDescent="0.25">
      <c r="B19" s="540"/>
      <c r="C19" s="541"/>
      <c r="D19" s="168" t="s">
        <v>554</v>
      </c>
      <c r="E19" s="169" t="s">
        <v>555</v>
      </c>
      <c r="F19" s="169" t="s">
        <v>555</v>
      </c>
      <c r="G19" s="169" t="s">
        <v>555</v>
      </c>
      <c r="H19" s="170" t="s">
        <v>556</v>
      </c>
      <c r="I19" s="169" t="s">
        <v>556</v>
      </c>
      <c r="J19" s="169" t="s">
        <v>556</v>
      </c>
      <c r="K19" s="161"/>
    </row>
    <row r="20" spans="1:11" s="163" customFormat="1" x14ac:dyDescent="0.25">
      <c r="A20">
        <v>1</v>
      </c>
      <c r="B20" s="542" t="str">
        <f>IF('FEUILLE SAISIE'!B179="","",'FEUILLE SAISIE'!B179)</f>
        <v/>
      </c>
      <c r="C20" s="543"/>
      <c r="D20" s="171">
        <f>'FEUILLE SAISIE'!D179</f>
        <v>0</v>
      </c>
      <c r="E20" s="172">
        <f>'FEUILLE SAISIE'!E179</f>
        <v>335</v>
      </c>
      <c r="F20" s="172">
        <f>'FEUILLE SAISIE'!F179</f>
        <v>0</v>
      </c>
      <c r="G20" s="172">
        <f>'FEUILLE SAISIE'!G179</f>
        <v>0</v>
      </c>
      <c r="H20" s="173" t="str">
        <f t="shared" ref="H20:H29" si="0">IF($B20="","",$D20*E20)</f>
        <v/>
      </c>
      <c r="I20" s="173" t="str">
        <f t="shared" ref="I20:I29" si="1">IF($B20="","",$D20*F20)</f>
        <v/>
      </c>
      <c r="J20" s="173" t="str">
        <f t="shared" ref="J20:J29" si="2">IF($B20="","",$D20*G20)</f>
        <v/>
      </c>
      <c r="K20" s="174"/>
    </row>
    <row r="21" spans="1:11" s="163" customFormat="1" x14ac:dyDescent="0.25">
      <c r="A21">
        <v>2</v>
      </c>
      <c r="B21" s="542" t="str">
        <f>IF('FEUILLE SAISIE'!B180="","",'FEUILLE SAISIE'!B180)</f>
        <v/>
      </c>
      <c r="C21" s="543"/>
      <c r="D21" s="171">
        <f>'FEUILLE SAISIE'!D180</f>
        <v>0</v>
      </c>
      <c r="E21" s="172">
        <f>'FEUILLE SAISIE'!E180</f>
        <v>270</v>
      </c>
      <c r="F21" s="172">
        <f>'FEUILLE SAISIE'!F180</f>
        <v>0</v>
      </c>
      <c r="G21" s="172">
        <f>'FEUILLE SAISIE'!G180</f>
        <v>0</v>
      </c>
      <c r="H21" s="173" t="str">
        <f t="shared" si="0"/>
        <v/>
      </c>
      <c r="I21" s="173" t="str">
        <f t="shared" si="1"/>
        <v/>
      </c>
      <c r="J21" s="173" t="str">
        <f t="shared" si="2"/>
        <v/>
      </c>
      <c r="K21" s="174"/>
    </row>
    <row r="22" spans="1:11" s="163" customFormat="1" x14ac:dyDescent="0.25">
      <c r="A22">
        <v>3</v>
      </c>
      <c r="B22" s="542" t="str">
        <f>IF('FEUILLE SAISIE'!B181="","",'FEUILLE SAISIE'!B181)</f>
        <v/>
      </c>
      <c r="C22" s="543"/>
      <c r="D22" s="171">
        <f>'FEUILLE SAISIE'!D181</f>
        <v>0</v>
      </c>
      <c r="E22" s="172">
        <f>'FEUILLE SAISIE'!E181</f>
        <v>0</v>
      </c>
      <c r="F22" s="172">
        <f>'FEUILLE SAISIE'!F181</f>
        <v>0</v>
      </c>
      <c r="G22" s="172">
        <f>'FEUILLE SAISIE'!G181</f>
        <v>0</v>
      </c>
      <c r="H22" s="173" t="str">
        <f t="shared" si="0"/>
        <v/>
      </c>
      <c r="I22" s="173" t="str">
        <f t="shared" si="1"/>
        <v/>
      </c>
      <c r="J22" s="173" t="str">
        <f t="shared" si="2"/>
        <v/>
      </c>
      <c r="K22" s="174"/>
    </row>
    <row r="23" spans="1:11" x14ac:dyDescent="0.25">
      <c r="A23">
        <v>4</v>
      </c>
      <c r="B23" s="542" t="str">
        <f>IF('FEUILLE SAISIE'!B182="","",'FEUILLE SAISIE'!B182)</f>
        <v/>
      </c>
      <c r="C23" s="543"/>
      <c r="D23" s="171">
        <f>'FEUILLE SAISIE'!D182</f>
        <v>0</v>
      </c>
      <c r="E23" s="172">
        <f>'FEUILLE SAISIE'!E182</f>
        <v>0</v>
      </c>
      <c r="F23" s="172">
        <f>'FEUILLE SAISIE'!F182</f>
        <v>0</v>
      </c>
      <c r="G23" s="172">
        <f>'FEUILLE SAISIE'!G182</f>
        <v>0</v>
      </c>
      <c r="H23" s="173" t="str">
        <f t="shared" si="0"/>
        <v/>
      </c>
      <c r="I23" s="173" t="str">
        <f t="shared" si="1"/>
        <v/>
      </c>
      <c r="J23" s="173" t="str">
        <f t="shared" si="2"/>
        <v/>
      </c>
    </row>
    <row r="24" spans="1:11" x14ac:dyDescent="0.25">
      <c r="A24">
        <v>5</v>
      </c>
      <c r="B24" s="542" t="str">
        <f>IF('FEUILLE SAISIE'!B183="","",'FEUILLE SAISIE'!B183)</f>
        <v/>
      </c>
      <c r="C24" s="543"/>
      <c r="D24" s="171">
        <f>'FEUILLE SAISIE'!D183</f>
        <v>0</v>
      </c>
      <c r="E24" s="172">
        <f>'FEUILLE SAISIE'!E183</f>
        <v>0</v>
      </c>
      <c r="F24" s="172">
        <f>'FEUILLE SAISIE'!F183</f>
        <v>0</v>
      </c>
      <c r="G24" s="172">
        <f>'FEUILLE SAISIE'!G183</f>
        <v>0</v>
      </c>
      <c r="H24" s="173" t="str">
        <f t="shared" si="0"/>
        <v/>
      </c>
      <c r="I24" s="173" t="str">
        <f t="shared" si="1"/>
        <v/>
      </c>
      <c r="J24" s="173" t="str">
        <f t="shared" si="2"/>
        <v/>
      </c>
    </row>
    <row r="25" spans="1:11" x14ac:dyDescent="0.25">
      <c r="A25">
        <v>6</v>
      </c>
      <c r="B25" s="542" t="str">
        <f>IF('FEUILLE SAISIE'!B184="","",'FEUILLE SAISIE'!B184)</f>
        <v/>
      </c>
      <c r="C25" s="543"/>
      <c r="D25" s="171">
        <f>'FEUILLE SAISIE'!D184</f>
        <v>0</v>
      </c>
      <c r="E25" s="172">
        <f>'FEUILLE SAISIE'!E184</f>
        <v>0</v>
      </c>
      <c r="F25" s="172">
        <f>'FEUILLE SAISIE'!F184</f>
        <v>0</v>
      </c>
      <c r="G25" s="172">
        <f>'FEUILLE SAISIE'!G184</f>
        <v>0</v>
      </c>
      <c r="H25" s="173" t="str">
        <f t="shared" si="0"/>
        <v/>
      </c>
      <c r="I25" s="173" t="str">
        <f t="shared" si="1"/>
        <v/>
      </c>
      <c r="J25" s="173" t="str">
        <f t="shared" si="2"/>
        <v/>
      </c>
    </row>
    <row r="26" spans="1:11" x14ac:dyDescent="0.25">
      <c r="A26">
        <v>7</v>
      </c>
      <c r="B26" s="542" t="str">
        <f>IF('FEUILLE SAISIE'!B185="","",'FEUILLE SAISIE'!B185)</f>
        <v/>
      </c>
      <c r="C26" s="543"/>
      <c r="D26" s="171">
        <f>'FEUILLE SAISIE'!D185</f>
        <v>0</v>
      </c>
      <c r="E26" s="172">
        <f>'FEUILLE SAISIE'!E185</f>
        <v>0</v>
      </c>
      <c r="F26" s="172">
        <f>'FEUILLE SAISIE'!F185</f>
        <v>0</v>
      </c>
      <c r="G26" s="172">
        <f>'FEUILLE SAISIE'!G185</f>
        <v>0</v>
      </c>
      <c r="H26" s="173" t="str">
        <f t="shared" si="0"/>
        <v/>
      </c>
      <c r="I26" s="173" t="str">
        <f t="shared" si="1"/>
        <v/>
      </c>
      <c r="J26" s="173" t="str">
        <f t="shared" si="2"/>
        <v/>
      </c>
    </row>
    <row r="27" spans="1:11" x14ac:dyDescent="0.25">
      <c r="A27">
        <v>8</v>
      </c>
      <c r="B27" s="542" t="str">
        <f>IF('FEUILLE SAISIE'!B186="","",'FEUILLE SAISIE'!B186)</f>
        <v/>
      </c>
      <c r="C27" s="543"/>
      <c r="D27" s="171">
        <f>'FEUILLE SAISIE'!D186</f>
        <v>0</v>
      </c>
      <c r="E27" s="172">
        <f>'FEUILLE SAISIE'!E186</f>
        <v>0</v>
      </c>
      <c r="F27" s="172">
        <f>'FEUILLE SAISIE'!F186</f>
        <v>0</v>
      </c>
      <c r="G27" s="172">
        <f>'FEUILLE SAISIE'!G186</f>
        <v>0</v>
      </c>
      <c r="H27" s="173" t="str">
        <f t="shared" si="0"/>
        <v/>
      </c>
      <c r="I27" s="173" t="str">
        <f t="shared" si="1"/>
        <v/>
      </c>
      <c r="J27" s="173" t="str">
        <f t="shared" si="2"/>
        <v/>
      </c>
    </row>
    <row r="28" spans="1:11" x14ac:dyDescent="0.25">
      <c r="A28">
        <v>9</v>
      </c>
      <c r="B28" s="542" t="str">
        <f>IF('FEUILLE SAISIE'!B187="","",'FEUILLE SAISIE'!B187)</f>
        <v/>
      </c>
      <c r="C28" s="543"/>
      <c r="D28" s="171">
        <f>'FEUILLE SAISIE'!D187</f>
        <v>0</v>
      </c>
      <c r="E28" s="172">
        <f>'FEUILLE SAISIE'!E187</f>
        <v>0</v>
      </c>
      <c r="F28" s="172">
        <f>'FEUILLE SAISIE'!F187</f>
        <v>0</v>
      </c>
      <c r="G28" s="172">
        <f>'FEUILLE SAISIE'!G187</f>
        <v>0</v>
      </c>
      <c r="H28" s="173" t="str">
        <f t="shared" si="0"/>
        <v/>
      </c>
      <c r="I28" s="173" t="str">
        <f t="shared" si="1"/>
        <v/>
      </c>
      <c r="J28" s="173" t="str">
        <f t="shared" si="2"/>
        <v/>
      </c>
    </row>
    <row r="29" spans="1:11" x14ac:dyDescent="0.25">
      <c r="A29">
        <v>10</v>
      </c>
      <c r="B29" s="542" t="str">
        <f>IF('FEUILLE SAISIE'!B188="","",'FEUILLE SAISIE'!B188)</f>
        <v/>
      </c>
      <c r="C29" s="543"/>
      <c r="D29" s="171">
        <f>'FEUILLE SAISIE'!D188</f>
        <v>0</v>
      </c>
      <c r="E29" s="172">
        <f>'FEUILLE SAISIE'!E188</f>
        <v>0</v>
      </c>
      <c r="F29" s="172">
        <f>'FEUILLE SAISIE'!F188</f>
        <v>0</v>
      </c>
      <c r="G29" s="172">
        <f>'FEUILLE SAISIE'!G188</f>
        <v>0</v>
      </c>
      <c r="H29" s="173" t="str">
        <f t="shared" si="0"/>
        <v/>
      </c>
      <c r="I29" s="173" t="str">
        <f t="shared" si="1"/>
        <v/>
      </c>
      <c r="J29" s="173" t="str">
        <f t="shared" si="2"/>
        <v/>
      </c>
    </row>
    <row r="30" spans="1:11" x14ac:dyDescent="0.25">
      <c r="B30" s="175"/>
      <c r="C30" s="175"/>
      <c r="D30" s="176"/>
      <c r="E30" s="177"/>
      <c r="F30" s="177"/>
      <c r="G30" s="177"/>
      <c r="H30" s="167" t="s">
        <v>331</v>
      </c>
      <c r="I30" s="167" t="s">
        <v>551</v>
      </c>
      <c r="J30" s="167" t="s">
        <v>552</v>
      </c>
    </row>
    <row r="31" spans="1:11" x14ac:dyDescent="0.25">
      <c r="G31" t="s">
        <v>557</v>
      </c>
      <c r="H31" s="29">
        <f>SUM(H20:H29)</f>
        <v>0</v>
      </c>
      <c r="I31" s="29">
        <f t="shared" ref="I31:J31" si="3">SUM(I20:I29)</f>
        <v>0</v>
      </c>
      <c r="J31" s="29">
        <f t="shared" si="3"/>
        <v>0</v>
      </c>
    </row>
    <row r="32" spans="1:11" x14ac:dyDescent="0.25">
      <c r="G32" t="s">
        <v>558</v>
      </c>
      <c r="H32" s="178">
        <v>1</v>
      </c>
      <c r="I32" s="178">
        <v>0.437</v>
      </c>
      <c r="J32" s="178">
        <v>0.83</v>
      </c>
    </row>
    <row r="33" spans="1:12" ht="15.75" thickBot="1" x14ac:dyDescent="0.3">
      <c r="H33" s="179" t="s">
        <v>331</v>
      </c>
      <c r="I33" s="179" t="s">
        <v>332</v>
      </c>
      <c r="J33" s="179" t="s">
        <v>333</v>
      </c>
    </row>
    <row r="34" spans="1:12" x14ac:dyDescent="0.25">
      <c r="F34" s="544" t="s">
        <v>559</v>
      </c>
      <c r="G34" s="545"/>
      <c r="H34" s="548">
        <f>H31*H32</f>
        <v>0</v>
      </c>
      <c r="I34" s="548">
        <f t="shared" ref="I34:J34" si="4">I31*I32</f>
        <v>0</v>
      </c>
      <c r="J34" s="535">
        <f t="shared" si="4"/>
        <v>0</v>
      </c>
    </row>
    <row r="35" spans="1:12" ht="15.75" thickBot="1" x14ac:dyDescent="0.3">
      <c r="F35" s="546"/>
      <c r="G35" s="547"/>
      <c r="H35" s="549"/>
      <c r="I35" s="549"/>
      <c r="J35" s="536"/>
    </row>
    <row r="37" spans="1:12" s="163" customFormat="1" ht="12.75" customHeight="1" x14ac:dyDescent="0.2">
      <c r="A37" s="537" t="s">
        <v>560</v>
      </c>
      <c r="B37" s="537"/>
      <c r="C37" s="537"/>
      <c r="D37" s="537"/>
      <c r="E37" s="537"/>
      <c r="F37" s="537"/>
      <c r="G37" s="537"/>
      <c r="H37" s="537"/>
      <c r="I37" s="537"/>
      <c r="J37" s="161"/>
      <c r="K37" s="161"/>
      <c r="L37" s="161"/>
    </row>
    <row r="38" spans="1:12" s="163" customFormat="1" ht="20.25" x14ac:dyDescent="0.2">
      <c r="A38" s="164"/>
      <c r="B38" s="162"/>
      <c r="C38" s="162"/>
      <c r="D38" s="162"/>
      <c r="E38" s="162"/>
      <c r="F38" s="162"/>
      <c r="G38" s="162"/>
      <c r="H38" s="162"/>
      <c r="I38" s="161"/>
      <c r="J38" s="161"/>
      <c r="K38" s="161"/>
      <c r="L38" s="161"/>
    </row>
    <row r="39" spans="1:12" s="163" customFormat="1" ht="12.75" x14ac:dyDescent="0.2">
      <c r="A39" s="180"/>
      <c r="B39" s="181"/>
      <c r="C39" s="181"/>
      <c r="D39" s="181"/>
      <c r="E39" s="181"/>
      <c r="F39" s="181"/>
      <c r="G39" s="182"/>
      <c r="H39" s="161"/>
      <c r="I39" s="161"/>
      <c r="J39" s="161"/>
      <c r="K39" s="161"/>
    </row>
    <row r="40" spans="1:12" s="163" customFormat="1" ht="12.75" x14ac:dyDescent="0.2">
      <c r="B40" s="183" t="s">
        <v>561</v>
      </c>
      <c r="C40" s="181"/>
      <c r="D40" s="181"/>
      <c r="E40" s="181"/>
      <c r="F40" s="181"/>
      <c r="G40" s="181"/>
      <c r="H40" s="182"/>
      <c r="I40" s="161"/>
      <c r="J40" s="161"/>
      <c r="K40" s="161"/>
      <c r="L40" s="161"/>
    </row>
    <row r="41" spans="1:12" s="163" customFormat="1" ht="51" x14ac:dyDescent="0.25">
      <c r="B41" s="551" t="s">
        <v>549</v>
      </c>
      <c r="C41" s="543"/>
      <c r="D41" s="184" t="s">
        <v>608</v>
      </c>
      <c r="E41" s="166" t="s">
        <v>331</v>
      </c>
      <c r="F41" s="166" t="s">
        <v>551</v>
      </c>
      <c r="G41" s="166" t="s">
        <v>552</v>
      </c>
      <c r="H41" s="185" t="s">
        <v>331</v>
      </c>
      <c r="I41" s="185" t="s">
        <v>551</v>
      </c>
      <c r="J41" s="185" t="s">
        <v>552</v>
      </c>
      <c r="K41" s="161"/>
    </row>
    <row r="42" spans="1:12" s="163" customFormat="1" ht="37.5" customHeight="1" x14ac:dyDescent="0.25">
      <c r="B42" s="552"/>
      <c r="C42" s="543"/>
      <c r="D42" s="169" t="s">
        <v>562</v>
      </c>
      <c r="E42" s="186" t="s">
        <v>563</v>
      </c>
      <c r="F42" s="186" t="s">
        <v>564</v>
      </c>
      <c r="G42" s="186" t="s">
        <v>565</v>
      </c>
      <c r="H42" s="170" t="s">
        <v>556</v>
      </c>
      <c r="I42" s="169" t="s">
        <v>556</v>
      </c>
      <c r="J42" s="169" t="s">
        <v>556</v>
      </c>
      <c r="K42" s="161"/>
    </row>
    <row r="43" spans="1:12" s="163" customFormat="1" x14ac:dyDescent="0.25">
      <c r="A43">
        <v>1</v>
      </c>
      <c r="B43" s="542" t="str">
        <f>IF('FEUILLE SAISIE'!B195="","",'FEUILLE SAISIE'!B195)</f>
        <v/>
      </c>
      <c r="C43" s="543"/>
      <c r="D43" s="171">
        <f>'FEUILLE SAISIE'!E195</f>
        <v>0</v>
      </c>
      <c r="E43" s="187" t="str">
        <f>IF($B43="","",VLOOKUP($B43,listes!$I$86:$L$137,2,FALSE))</f>
        <v/>
      </c>
      <c r="F43" s="187" t="str">
        <f>IF($B43="","",VLOOKUP($B43,listes!$I$86:$L$137,3,FALSE))</f>
        <v/>
      </c>
      <c r="G43" s="187" t="str">
        <f>IF($B43="","",VLOOKUP($B43,listes!$I$86:$L$137,4,FALSE))</f>
        <v/>
      </c>
      <c r="H43" s="173" t="str">
        <f t="shared" ref="H43:J47" si="5">IF($B43="","",$D43*E43)</f>
        <v/>
      </c>
      <c r="I43" s="173" t="str">
        <f t="shared" si="5"/>
        <v/>
      </c>
      <c r="J43" s="173" t="str">
        <f t="shared" si="5"/>
        <v/>
      </c>
      <c r="K43" s="174"/>
    </row>
    <row r="44" spans="1:12" ht="14.1" customHeight="1" x14ac:dyDescent="0.25">
      <c r="A44">
        <v>2</v>
      </c>
      <c r="B44" s="542" t="str">
        <f>IF('FEUILLE SAISIE'!B196="","",'FEUILLE SAISIE'!B196)</f>
        <v/>
      </c>
      <c r="C44" s="550"/>
      <c r="D44" s="171">
        <f>'FEUILLE SAISIE'!E196</f>
        <v>0</v>
      </c>
      <c r="E44" s="187" t="str">
        <f>IF($B44="","",VLOOKUP($B44,listes!$I$86:$L$137,2,FALSE))</f>
        <v/>
      </c>
      <c r="F44" s="187" t="str">
        <f>IF($B44="","",VLOOKUP($B44,listes!$I$86:$L$137,3,FALSE))</f>
        <v/>
      </c>
      <c r="G44" s="187" t="str">
        <f>IF($B44="","",VLOOKUP($B44,listes!$I$86:$L$137,4,FALSE))</f>
        <v/>
      </c>
      <c r="H44" s="173" t="str">
        <f t="shared" si="5"/>
        <v/>
      </c>
      <c r="I44" s="173" t="str">
        <f t="shared" si="5"/>
        <v/>
      </c>
      <c r="J44" s="173" t="str">
        <f t="shared" si="5"/>
        <v/>
      </c>
    </row>
    <row r="45" spans="1:12" x14ac:dyDescent="0.25">
      <c r="A45">
        <v>3</v>
      </c>
      <c r="B45" s="542" t="str">
        <f>IF('FEUILLE SAISIE'!B197="","",'FEUILLE SAISIE'!B197)</f>
        <v/>
      </c>
      <c r="C45" s="550"/>
      <c r="D45" s="171">
        <f>'FEUILLE SAISIE'!E197</f>
        <v>0</v>
      </c>
      <c r="E45" s="187" t="str">
        <f>IF($B45="","",VLOOKUP($B45,listes!$I$86:$L$137,2,FALSE))</f>
        <v/>
      </c>
      <c r="F45" s="187" t="str">
        <f>IF($B45="","",VLOOKUP($B45,listes!$I$86:$L$137,3,FALSE))</f>
        <v/>
      </c>
      <c r="G45" s="187" t="str">
        <f>IF($B45="","",VLOOKUP($B45,listes!$I$86:$L$137,4,FALSE))</f>
        <v/>
      </c>
      <c r="H45" s="173" t="str">
        <f t="shared" si="5"/>
        <v/>
      </c>
      <c r="I45" s="173" t="str">
        <f t="shared" si="5"/>
        <v/>
      </c>
      <c r="J45" s="173" t="str">
        <f t="shared" si="5"/>
        <v/>
      </c>
    </row>
    <row r="46" spans="1:12" x14ac:dyDescent="0.25">
      <c r="A46">
        <v>4</v>
      </c>
      <c r="B46" s="542" t="str">
        <f>IF('FEUILLE SAISIE'!B198="","",'FEUILLE SAISIE'!B198)</f>
        <v/>
      </c>
      <c r="C46" s="550"/>
      <c r="D46" s="171">
        <f>'FEUILLE SAISIE'!E198</f>
        <v>0</v>
      </c>
      <c r="E46" s="187" t="str">
        <f>IF($B46="","",VLOOKUP($B46,listes!$I$86:$L$137,2,FALSE))</f>
        <v/>
      </c>
      <c r="F46" s="187" t="str">
        <f>IF($B46="","",VLOOKUP($B46,listes!$I$86:$L$137,3,FALSE))</f>
        <v/>
      </c>
      <c r="G46" s="187" t="str">
        <f>IF($B46="","",VLOOKUP($B46,listes!$I$86:$L$137,4,FALSE))</f>
        <v/>
      </c>
      <c r="H46" s="173" t="str">
        <f t="shared" si="5"/>
        <v/>
      </c>
      <c r="I46" s="173" t="str">
        <f t="shared" si="5"/>
        <v/>
      </c>
      <c r="J46" s="173" t="str">
        <f t="shared" si="5"/>
        <v/>
      </c>
    </row>
    <row r="47" spans="1:12" x14ac:dyDescent="0.25">
      <c r="A47">
        <v>5</v>
      </c>
      <c r="B47" s="542" t="str">
        <f>IF('FEUILLE SAISIE'!B199="","",'FEUILLE SAISIE'!B199)</f>
        <v/>
      </c>
      <c r="C47" s="550"/>
      <c r="D47" s="171">
        <f>'FEUILLE SAISIE'!E199</f>
        <v>0</v>
      </c>
      <c r="E47" s="187" t="str">
        <f>IF($B47="","",VLOOKUP($B47,listes!$I$86:$L$137,2,FALSE))</f>
        <v/>
      </c>
      <c r="F47" s="187" t="str">
        <f>IF($B47="","",VLOOKUP($B47,listes!$I$86:$L$137,3,FALSE))</f>
        <v/>
      </c>
      <c r="G47" s="187" t="str">
        <f>IF($B47="","",VLOOKUP($B47,listes!$I$86:$L$137,4,FALSE))</f>
        <v/>
      </c>
      <c r="H47" s="173" t="str">
        <f t="shared" si="5"/>
        <v/>
      </c>
      <c r="I47" s="173" t="str">
        <f t="shared" si="5"/>
        <v/>
      </c>
      <c r="J47" s="173" t="str">
        <f t="shared" si="5"/>
        <v/>
      </c>
    </row>
    <row r="48" spans="1:12" x14ac:dyDescent="0.25">
      <c r="G48" t="s">
        <v>557</v>
      </c>
      <c r="H48" s="29">
        <f>SUM(H43:H46)</f>
        <v>0</v>
      </c>
      <c r="I48" s="29">
        <f t="shared" ref="I48:J48" si="6">SUM(I43:I46)</f>
        <v>0</v>
      </c>
      <c r="J48" s="29">
        <f t="shared" si="6"/>
        <v>0</v>
      </c>
    </row>
    <row r="49" spans="1:13" x14ac:dyDescent="0.25">
      <c r="G49" t="s">
        <v>558</v>
      </c>
      <c r="H49" s="178">
        <v>1</v>
      </c>
      <c r="I49" s="178">
        <v>0.437</v>
      </c>
      <c r="J49" s="178">
        <v>0.83</v>
      </c>
    </row>
    <row r="50" spans="1:13" ht="15.75" thickBot="1" x14ac:dyDescent="0.3">
      <c r="H50" s="179" t="s">
        <v>331</v>
      </c>
      <c r="I50" s="179" t="s">
        <v>332</v>
      </c>
      <c r="J50" s="179" t="s">
        <v>333</v>
      </c>
    </row>
    <row r="51" spans="1:13" x14ac:dyDescent="0.25">
      <c r="F51" s="544" t="s">
        <v>566</v>
      </c>
      <c r="G51" s="545"/>
      <c r="H51" s="548">
        <f>H48*H49</f>
        <v>0</v>
      </c>
      <c r="I51" s="548">
        <f t="shared" ref="I51:J51" si="7">I48*I49</f>
        <v>0</v>
      </c>
      <c r="J51" s="535">
        <f t="shared" si="7"/>
        <v>0</v>
      </c>
    </row>
    <row r="52" spans="1:13" ht="15.75" thickBot="1" x14ac:dyDescent="0.3">
      <c r="F52" s="546"/>
      <c r="G52" s="547"/>
      <c r="H52" s="549"/>
      <c r="I52" s="549"/>
      <c r="J52" s="536"/>
    </row>
    <row r="55" spans="1:13" s="163" customFormat="1" ht="12.75" customHeight="1" x14ac:dyDescent="0.2">
      <c r="A55" s="537" t="s">
        <v>567</v>
      </c>
      <c r="B55" s="537"/>
      <c r="C55" s="537"/>
      <c r="D55" s="537"/>
      <c r="E55" s="537"/>
      <c r="F55" s="537"/>
      <c r="G55" s="537"/>
      <c r="H55" s="537"/>
      <c r="I55" s="537"/>
      <c r="J55" s="161"/>
      <c r="K55" s="161"/>
      <c r="L55" s="161"/>
    </row>
    <row r="56" spans="1:13" s="163" customFormat="1" ht="12.75" x14ac:dyDescent="0.2">
      <c r="A56" s="161"/>
      <c r="B56" s="161"/>
      <c r="C56" s="161"/>
      <c r="D56" s="161"/>
      <c r="E56" s="161"/>
      <c r="F56" s="161"/>
      <c r="G56" s="161"/>
      <c r="H56" s="161"/>
      <c r="I56" s="161"/>
      <c r="J56" s="161"/>
      <c r="K56" s="161"/>
      <c r="L56" s="161"/>
    </row>
    <row r="57" spans="1:13" s="163" customFormat="1" ht="12.75" x14ac:dyDescent="0.2">
      <c r="A57" s="553" t="s">
        <v>568</v>
      </c>
      <c r="B57" s="553"/>
      <c r="C57" s="553"/>
      <c r="D57" s="553"/>
      <c r="E57" s="553"/>
      <c r="F57" s="553"/>
      <c r="G57" s="553"/>
      <c r="H57" s="553"/>
      <c r="I57" s="553"/>
      <c r="J57" s="161"/>
      <c r="K57" s="161"/>
      <c r="L57" s="161"/>
    </row>
    <row r="58" spans="1:13" s="163" customFormat="1" ht="12.75" x14ac:dyDescent="0.2">
      <c r="A58" s="164"/>
      <c r="B58" s="161"/>
      <c r="C58" s="161"/>
      <c r="D58" s="161"/>
      <c r="E58" s="161"/>
      <c r="F58" s="161"/>
      <c r="G58" s="161"/>
      <c r="H58" s="161"/>
      <c r="I58" s="161"/>
      <c r="J58" s="161"/>
      <c r="K58" s="161"/>
      <c r="L58" s="161"/>
    </row>
    <row r="59" spans="1:13" s="163" customFormat="1" ht="51" x14ac:dyDescent="0.2">
      <c r="B59" s="161"/>
      <c r="C59" s="161"/>
      <c r="D59" s="188" t="s">
        <v>569</v>
      </c>
      <c r="E59" s="188" t="s">
        <v>570</v>
      </c>
      <c r="F59" s="161"/>
      <c r="G59" s="161"/>
      <c r="H59" s="161"/>
      <c r="I59" s="161"/>
      <c r="J59" s="161"/>
      <c r="K59" s="161"/>
      <c r="L59" s="161"/>
    </row>
    <row r="60" spans="1:13" s="163" customFormat="1" ht="12.75" x14ac:dyDescent="0.2">
      <c r="B60" s="138" t="s">
        <v>571</v>
      </c>
      <c r="C60" s="169" t="s">
        <v>335</v>
      </c>
      <c r="D60" s="189">
        <f>'FEUILLE SAISIE'!E205*100</f>
        <v>0</v>
      </c>
      <c r="E60" s="189">
        <f>'FEUILLE SAISIE'!E206*100</f>
        <v>0</v>
      </c>
      <c r="F60" s="161"/>
      <c r="G60" s="161"/>
      <c r="H60" s="161"/>
      <c r="I60" s="161"/>
      <c r="J60" s="161"/>
      <c r="K60" s="161"/>
      <c r="L60" s="161"/>
    </row>
    <row r="61" spans="1:13" s="163" customFormat="1" ht="25.5" x14ac:dyDescent="0.2">
      <c r="B61" s="190" t="s">
        <v>572</v>
      </c>
      <c r="C61" s="191" t="s">
        <v>573</v>
      </c>
      <c r="D61" s="171">
        <f>'FEUILLE SAISIE'!F205</f>
        <v>0</v>
      </c>
      <c r="E61" s="192">
        <f>'FEUILLE SAISIE'!F206</f>
        <v>0</v>
      </c>
      <c r="F61" s="161"/>
      <c r="G61" s="161"/>
      <c r="H61" s="161"/>
      <c r="I61" s="161"/>
      <c r="J61" s="161"/>
      <c r="K61" s="161"/>
      <c r="L61" s="161"/>
    </row>
    <row r="62" spans="1:13" s="163" customFormat="1" ht="25.5" x14ac:dyDescent="0.2">
      <c r="B62" s="193" t="s">
        <v>574</v>
      </c>
      <c r="C62" s="191" t="s">
        <v>575</v>
      </c>
      <c r="D62" s="178">
        <v>35</v>
      </c>
      <c r="E62" s="194">
        <v>23</v>
      </c>
      <c r="F62" s="161"/>
      <c r="G62" s="161"/>
      <c r="H62" s="161"/>
      <c r="I62" s="161"/>
      <c r="J62" s="161"/>
      <c r="K62" s="161"/>
      <c r="L62" s="161"/>
    </row>
    <row r="63" spans="1:13" s="163" customFormat="1" ht="12.75" x14ac:dyDescent="0.2">
      <c r="B63" s="195" t="s">
        <v>576</v>
      </c>
      <c r="C63" s="195" t="s">
        <v>577</v>
      </c>
      <c r="D63" s="196">
        <f>D61*D60/100*D62*1.3</f>
        <v>0</v>
      </c>
      <c r="E63" s="196">
        <f>E61*E60/100*E62</f>
        <v>0</v>
      </c>
      <c r="F63" s="161"/>
      <c r="G63" s="161"/>
      <c r="H63" s="161"/>
      <c r="I63" s="161"/>
      <c r="J63" s="161"/>
      <c r="K63" s="161"/>
      <c r="L63" s="161"/>
      <c r="M63" s="161"/>
    </row>
    <row r="64" spans="1:13" s="163" customFormat="1" ht="12.75" x14ac:dyDescent="0.2">
      <c r="B64" s="190" t="s">
        <v>578</v>
      </c>
      <c r="C64" s="197" t="s">
        <v>13</v>
      </c>
      <c r="D64" s="198">
        <f>'FEUILLE SAISIE'!D205</f>
        <v>0</v>
      </c>
      <c r="E64" s="198">
        <f>'FEUILLE SAISIE'!D206</f>
        <v>0</v>
      </c>
      <c r="F64" s="161"/>
      <c r="G64" s="161"/>
      <c r="H64" s="161"/>
      <c r="I64" s="161"/>
      <c r="J64" s="161"/>
      <c r="K64" s="161"/>
      <c r="L64" s="161"/>
      <c r="M64" s="161"/>
    </row>
    <row r="65" spans="1:13" s="163" customFormat="1" ht="12.75" x14ac:dyDescent="0.2">
      <c r="B65" s="199" t="s">
        <v>579</v>
      </c>
      <c r="C65" s="195" t="s">
        <v>338</v>
      </c>
      <c r="D65" s="200">
        <f>D63*D64</f>
        <v>0</v>
      </c>
      <c r="E65" s="200">
        <f>E63*E64</f>
        <v>0</v>
      </c>
      <c r="F65" s="161"/>
      <c r="G65" s="161"/>
      <c r="H65" s="161"/>
      <c r="I65" s="161"/>
      <c r="J65" s="161"/>
      <c r="K65" s="161"/>
      <c r="L65" s="161"/>
      <c r="M65" s="161"/>
    </row>
    <row r="68" spans="1:13" s="163" customFormat="1" ht="12.75" x14ac:dyDescent="0.2">
      <c r="A68" s="553" t="s">
        <v>582</v>
      </c>
      <c r="B68" s="553"/>
      <c r="C68" s="553"/>
      <c r="D68" s="553"/>
      <c r="E68" s="553"/>
      <c r="F68" s="553"/>
      <c r="G68" s="553"/>
      <c r="H68" s="553"/>
      <c r="I68" s="553"/>
      <c r="J68" s="161"/>
      <c r="K68" s="161"/>
      <c r="L68" s="161"/>
    </row>
    <row r="69" spans="1:13" s="163" customFormat="1" ht="12.75" x14ac:dyDescent="0.2">
      <c r="A69" s="164"/>
      <c r="B69" s="161"/>
      <c r="C69" s="161"/>
      <c r="D69" s="161"/>
      <c r="E69" s="161"/>
      <c r="F69" s="161"/>
      <c r="G69" s="161"/>
      <c r="H69" s="161"/>
      <c r="I69" s="161"/>
      <c r="J69" s="161"/>
      <c r="K69" s="161"/>
      <c r="L69" s="161"/>
    </row>
    <row r="70" spans="1:13" s="163" customFormat="1" ht="12.75" x14ac:dyDescent="0.2">
      <c r="A70" s="201"/>
      <c r="B70" s="161"/>
      <c r="C70" s="161"/>
      <c r="D70" s="161"/>
      <c r="E70" s="161"/>
      <c r="F70" s="161"/>
      <c r="G70" s="161"/>
      <c r="H70" s="161"/>
      <c r="I70" s="161"/>
      <c r="J70" s="161"/>
      <c r="K70" s="161"/>
    </row>
    <row r="71" spans="1:13" s="163" customFormat="1" ht="25.5" x14ac:dyDescent="0.2">
      <c r="B71" s="161"/>
      <c r="C71" s="202" t="s">
        <v>595</v>
      </c>
      <c r="D71" s="202" t="s">
        <v>584</v>
      </c>
      <c r="E71" s="190" t="s">
        <v>585</v>
      </c>
      <c r="F71" s="199" t="s">
        <v>579</v>
      </c>
      <c r="G71" s="161"/>
      <c r="H71" s="161"/>
      <c r="I71" s="161"/>
      <c r="J71" s="161"/>
      <c r="K71" s="161"/>
      <c r="L71" s="161"/>
    </row>
    <row r="72" spans="1:13" s="163" customFormat="1" ht="12.75" x14ac:dyDescent="0.2">
      <c r="B72" s="161"/>
      <c r="C72" s="203" t="s">
        <v>586</v>
      </c>
      <c r="D72" s="203" t="s">
        <v>13</v>
      </c>
      <c r="E72" s="191" t="s">
        <v>587</v>
      </c>
      <c r="F72" s="203" t="s">
        <v>338</v>
      </c>
      <c r="G72" s="161"/>
      <c r="H72" s="161"/>
      <c r="I72" s="161"/>
      <c r="J72" s="161"/>
      <c r="K72" s="161"/>
      <c r="L72" s="161"/>
    </row>
    <row r="73" spans="1:13" s="163" customFormat="1" ht="12.75" x14ac:dyDescent="0.2">
      <c r="B73" s="204" t="s">
        <v>488</v>
      </c>
      <c r="C73" s="171">
        <f>'FEUILLE SAISIE'!E210</f>
        <v>0</v>
      </c>
      <c r="D73" s="171">
        <f>'FEUILLE SAISIE'!D210</f>
        <v>0</v>
      </c>
      <c r="E73" s="205">
        <f>2.5*0.8*10</f>
        <v>20</v>
      </c>
      <c r="F73" s="206">
        <f>E73*C73*D73</f>
        <v>0</v>
      </c>
      <c r="G73" s="161"/>
      <c r="H73" s="161"/>
      <c r="I73" s="161"/>
      <c r="J73" s="161"/>
      <c r="K73" s="161"/>
      <c r="L73" s="161"/>
    </row>
    <row r="74" spans="1:13" s="163" customFormat="1" ht="12.75" x14ac:dyDescent="0.2">
      <c r="B74" s="204" t="s">
        <v>588</v>
      </c>
      <c r="C74" s="171">
        <f>'FEUILLE SAISIE'!E211</f>
        <v>0</v>
      </c>
      <c r="D74" s="171">
        <f>'FEUILLE SAISIE'!D211</f>
        <v>0</v>
      </c>
      <c r="E74" s="205">
        <f>2.6*0.75*10</f>
        <v>19.5</v>
      </c>
      <c r="F74" s="206">
        <f>E74*C74*D74</f>
        <v>0</v>
      </c>
      <c r="G74" s="161"/>
      <c r="H74" s="161"/>
      <c r="I74" s="161"/>
      <c r="J74" s="161"/>
      <c r="K74" s="161"/>
      <c r="L74" s="161"/>
    </row>
    <row r="75" spans="1:13" s="163" customFormat="1" ht="12.75" x14ac:dyDescent="0.2">
      <c r="B75" s="161"/>
      <c r="C75" s="161"/>
      <c r="D75" s="161"/>
      <c r="E75" s="207" t="s">
        <v>589</v>
      </c>
      <c r="F75" s="208">
        <f>SUM(F73:F74)</f>
        <v>0</v>
      </c>
      <c r="G75" s="161"/>
      <c r="H75" s="161"/>
      <c r="I75" s="161"/>
      <c r="J75" s="161"/>
      <c r="K75" s="161"/>
    </row>
    <row r="76" spans="1:13" s="163" customFormat="1" ht="12.75" x14ac:dyDescent="0.2">
      <c r="B76" s="161"/>
      <c r="C76" s="161"/>
      <c r="D76" s="161"/>
      <c r="E76" s="161"/>
      <c r="F76" s="182"/>
      <c r="G76" s="161"/>
      <c r="H76" s="161"/>
      <c r="I76" s="161"/>
      <c r="J76" s="161"/>
      <c r="K76" s="161"/>
      <c r="L76" s="161"/>
    </row>
    <row r="77" spans="1:13" s="163" customFormat="1" ht="25.5" x14ac:dyDescent="0.2">
      <c r="B77" s="161"/>
      <c r="C77" s="202" t="s">
        <v>583</v>
      </c>
      <c r="D77" s="202" t="s">
        <v>584</v>
      </c>
      <c r="E77" s="190" t="s">
        <v>590</v>
      </c>
      <c r="F77" s="209" t="s">
        <v>579</v>
      </c>
      <c r="G77" s="161"/>
      <c r="H77" s="161"/>
      <c r="I77" s="161"/>
      <c r="J77" s="161"/>
      <c r="K77" s="161"/>
      <c r="L77" s="161"/>
    </row>
    <row r="78" spans="1:13" s="163" customFormat="1" ht="12.75" x14ac:dyDescent="0.2">
      <c r="B78" s="161"/>
      <c r="C78" s="197" t="s">
        <v>591</v>
      </c>
      <c r="D78" s="203" t="s">
        <v>13</v>
      </c>
      <c r="E78" s="191" t="s">
        <v>592</v>
      </c>
      <c r="F78" s="203" t="s">
        <v>338</v>
      </c>
      <c r="G78" s="161"/>
      <c r="H78" s="161"/>
      <c r="I78" s="161"/>
      <c r="J78" s="161"/>
      <c r="K78" s="161"/>
      <c r="L78" s="161"/>
    </row>
    <row r="79" spans="1:13" s="163" customFormat="1" ht="12.75" x14ac:dyDescent="0.2">
      <c r="B79" s="204" t="s">
        <v>380</v>
      </c>
      <c r="C79" s="171">
        <f>'FEUILLE SAISIE'!E215</f>
        <v>0</v>
      </c>
      <c r="D79" s="171">
        <f>'FEUILLE SAISIE'!D215</f>
        <v>0</v>
      </c>
      <c r="E79" s="205">
        <f>5.6*65/100</f>
        <v>3.64</v>
      </c>
      <c r="F79" s="206">
        <f t="shared" ref="F79:F84" si="8">E79*D79*C79</f>
        <v>0</v>
      </c>
      <c r="G79" s="161"/>
      <c r="H79" s="161"/>
      <c r="I79" s="161"/>
      <c r="J79" s="161"/>
      <c r="K79" s="161"/>
      <c r="L79" s="161"/>
    </row>
    <row r="80" spans="1:13" s="163" customFormat="1" ht="12.75" x14ac:dyDescent="0.2">
      <c r="B80" s="204" t="s">
        <v>490</v>
      </c>
      <c r="C80" s="171">
        <f>'FEUILLE SAISIE'!E216</f>
        <v>0</v>
      </c>
      <c r="D80" s="171">
        <f>'FEUILLE SAISIE'!D216</f>
        <v>0</v>
      </c>
      <c r="E80" s="210">
        <f>3.57*65/100</f>
        <v>2.3205</v>
      </c>
      <c r="F80" s="206">
        <f t="shared" si="8"/>
        <v>0</v>
      </c>
      <c r="G80" s="161"/>
      <c r="H80" s="161"/>
      <c r="I80" s="161"/>
      <c r="J80" s="161"/>
      <c r="K80" s="161"/>
      <c r="L80" s="161"/>
    </row>
    <row r="81" spans="1:13" s="163" customFormat="1" ht="12.75" x14ac:dyDescent="0.2">
      <c r="B81" s="204" t="s">
        <v>491</v>
      </c>
      <c r="C81" s="171">
        <f>'FEUILLE SAISIE'!E217</f>
        <v>0</v>
      </c>
      <c r="D81" s="171">
        <f>'FEUILLE SAISIE'!D217</f>
        <v>0</v>
      </c>
      <c r="E81" s="205">
        <f>5.9*0.8</f>
        <v>4.7200000000000006</v>
      </c>
      <c r="F81" s="206">
        <f t="shared" si="8"/>
        <v>0</v>
      </c>
      <c r="G81" s="161"/>
      <c r="H81" s="161"/>
      <c r="I81" s="161"/>
      <c r="J81" s="161"/>
      <c r="K81" s="161"/>
      <c r="L81" s="161"/>
    </row>
    <row r="82" spans="1:13" s="163" customFormat="1" ht="12.75" x14ac:dyDescent="0.2">
      <c r="B82" s="204" t="s">
        <v>313</v>
      </c>
      <c r="C82" s="171">
        <f>'FEUILLE SAISIE'!E218</f>
        <v>0</v>
      </c>
      <c r="D82" s="171">
        <f>'FEUILLE SAISIE'!D218</f>
        <v>0</v>
      </c>
      <c r="E82" s="205">
        <f>7.4*0.8</f>
        <v>5.9200000000000008</v>
      </c>
      <c r="F82" s="206">
        <f t="shared" si="8"/>
        <v>0</v>
      </c>
      <c r="G82" s="161"/>
      <c r="H82" s="161"/>
      <c r="I82" s="161"/>
      <c r="J82" s="161"/>
      <c r="K82" s="161"/>
      <c r="L82" s="161"/>
    </row>
    <row r="83" spans="1:13" s="163" customFormat="1" ht="12.75" x14ac:dyDescent="0.2">
      <c r="B83" s="211" t="s">
        <v>492</v>
      </c>
      <c r="C83" s="171">
        <f>'FEUILLE SAISIE'!E219</f>
        <v>0</v>
      </c>
      <c r="D83" s="171">
        <f>'FEUILLE SAISIE'!D219</f>
        <v>0</v>
      </c>
      <c r="E83" s="205">
        <f>2.8*0.3</f>
        <v>0.84</v>
      </c>
      <c r="F83" s="206">
        <f t="shared" si="8"/>
        <v>0</v>
      </c>
      <c r="G83" s="161"/>
      <c r="H83" s="161"/>
      <c r="I83" s="161"/>
      <c r="J83" s="161"/>
      <c r="K83" s="161"/>
      <c r="L83" s="161"/>
    </row>
    <row r="84" spans="1:13" s="163" customFormat="1" ht="12.75" x14ac:dyDescent="0.2">
      <c r="B84" s="211" t="s">
        <v>493</v>
      </c>
      <c r="C84" s="171">
        <f>'FEUILLE SAISIE'!E220</f>
        <v>0</v>
      </c>
      <c r="D84" s="171">
        <f>'FEUILLE SAISIE'!D220</f>
        <v>0</v>
      </c>
      <c r="E84" s="205">
        <f>1.33*30/100</f>
        <v>0.39900000000000008</v>
      </c>
      <c r="F84" s="206">
        <f t="shared" si="8"/>
        <v>0</v>
      </c>
      <c r="G84" s="161"/>
      <c r="H84" s="161"/>
      <c r="I84" s="161"/>
      <c r="J84" s="161"/>
      <c r="K84" s="161"/>
      <c r="L84" s="161"/>
    </row>
    <row r="85" spans="1:13" s="163" customFormat="1" ht="12.75" x14ac:dyDescent="0.2">
      <c r="B85" s="161"/>
      <c r="C85" s="161"/>
      <c r="D85" s="212" t="s">
        <v>589</v>
      </c>
      <c r="E85" s="212" t="s">
        <v>593</v>
      </c>
      <c r="F85" s="206">
        <f>SUM(F79:F84)</f>
        <v>0</v>
      </c>
      <c r="G85" s="161"/>
      <c r="H85" s="161"/>
      <c r="I85" s="161"/>
      <c r="J85" s="161"/>
      <c r="K85" s="161"/>
      <c r="L85" s="161"/>
    </row>
    <row r="86" spans="1:13" s="163" customFormat="1" ht="12.75" x14ac:dyDescent="0.2">
      <c r="B86" s="161"/>
      <c r="C86" s="161"/>
      <c r="D86" s="161"/>
      <c r="E86" s="161"/>
      <c r="F86" s="161"/>
      <c r="G86" s="161"/>
      <c r="H86" s="161"/>
      <c r="I86" s="161"/>
      <c r="J86" s="161"/>
      <c r="K86" s="161"/>
      <c r="L86" s="161"/>
      <c r="M86" s="161"/>
    </row>
    <row r="87" spans="1:13" s="163" customFormat="1" ht="12.75" x14ac:dyDescent="0.2">
      <c r="B87" s="161"/>
      <c r="C87" s="213"/>
      <c r="D87" s="214" t="s">
        <v>594</v>
      </c>
      <c r="E87" s="212" t="s">
        <v>593</v>
      </c>
      <c r="F87" s="208">
        <f>F75+F85</f>
        <v>0</v>
      </c>
      <c r="G87" s="161"/>
      <c r="H87" s="161"/>
      <c r="I87" s="161"/>
      <c r="J87" s="161"/>
      <c r="K87" s="161"/>
      <c r="L87" s="161"/>
      <c r="M87" s="161"/>
    </row>
    <row r="88" spans="1:13" s="163" customFormat="1" ht="13.5" thickBot="1" x14ac:dyDescent="0.25">
      <c r="B88" s="161"/>
      <c r="C88" s="213"/>
      <c r="D88" s="213"/>
      <c r="E88" s="215"/>
      <c r="F88" s="215"/>
      <c r="G88" s="161"/>
      <c r="H88" s="161"/>
      <c r="I88" s="161"/>
      <c r="J88" s="161"/>
      <c r="K88" s="161"/>
      <c r="L88" s="161"/>
      <c r="M88" s="161"/>
    </row>
    <row r="89" spans="1:13" s="163" customFormat="1" ht="20.45" customHeight="1" thickBot="1" x14ac:dyDescent="0.25">
      <c r="B89" s="216"/>
      <c r="C89" s="217"/>
      <c r="D89" s="218" t="s">
        <v>598</v>
      </c>
      <c r="E89" s="219" t="s">
        <v>593</v>
      </c>
      <c r="F89" s="220">
        <f>F87+D65+E65</f>
        <v>0</v>
      </c>
      <c r="G89" s="161"/>
      <c r="H89" s="161"/>
      <c r="I89" s="161"/>
      <c r="J89" s="161"/>
      <c r="K89" s="161"/>
      <c r="L89" s="161"/>
      <c r="M89" s="161"/>
    </row>
    <row r="91" spans="1:13" s="163" customFormat="1" ht="12.75" customHeight="1" x14ac:dyDescent="0.2">
      <c r="A91" s="537" t="s">
        <v>596</v>
      </c>
      <c r="B91" s="537"/>
      <c r="C91" s="537"/>
      <c r="D91" s="537"/>
      <c r="E91" s="537"/>
      <c r="F91" s="537"/>
      <c r="G91" s="537"/>
      <c r="H91" s="537"/>
      <c r="I91" s="537"/>
      <c r="J91" s="161"/>
      <c r="K91" s="161"/>
      <c r="L91" s="161"/>
    </row>
    <row r="92" spans="1:13" s="163" customFormat="1" ht="12.75" x14ac:dyDescent="0.2">
      <c r="A92" s="164"/>
      <c r="B92" s="161"/>
      <c r="C92" s="161"/>
      <c r="D92" s="161"/>
      <c r="E92" s="161"/>
      <c r="F92" s="161"/>
      <c r="G92" s="161"/>
      <c r="H92" s="161"/>
      <c r="I92" s="161"/>
      <c r="J92" s="161"/>
      <c r="K92" s="161"/>
      <c r="L92" s="161"/>
    </row>
    <row r="93" spans="1:13" s="163" customFormat="1" ht="12.75" x14ac:dyDescent="0.2">
      <c r="B93" s="164"/>
      <c r="C93" s="161"/>
      <c r="D93" s="161"/>
      <c r="E93" s="161"/>
      <c r="F93" s="161"/>
      <c r="G93" s="161"/>
      <c r="H93" s="161"/>
      <c r="I93" s="161"/>
      <c r="J93" s="161"/>
      <c r="K93" s="161"/>
      <c r="L93" s="161"/>
    </row>
    <row r="94" spans="1:13" s="163" customFormat="1" ht="63.75" x14ac:dyDescent="0.2">
      <c r="B94" s="209" t="s">
        <v>327</v>
      </c>
      <c r="C94" s="69" t="s">
        <v>328</v>
      </c>
      <c r="D94" s="221" t="s">
        <v>329</v>
      </c>
      <c r="E94" s="185" t="s">
        <v>330</v>
      </c>
      <c r="F94" s="178" t="s">
        <v>331</v>
      </c>
      <c r="G94" s="178" t="s">
        <v>332</v>
      </c>
      <c r="H94" s="178" t="s">
        <v>333</v>
      </c>
      <c r="I94" s="206" t="s">
        <v>331</v>
      </c>
      <c r="J94" s="206" t="s">
        <v>332</v>
      </c>
      <c r="K94" s="206" t="s">
        <v>333</v>
      </c>
    </row>
    <row r="95" spans="1:13" s="163" customFormat="1" ht="12.75" x14ac:dyDescent="0.2">
      <c r="B95" s="209"/>
      <c r="C95" s="197" t="s">
        <v>334</v>
      </c>
      <c r="D95" s="203" t="s">
        <v>335</v>
      </c>
      <c r="E95" s="197" t="s">
        <v>336</v>
      </c>
      <c r="F95" s="197" t="s">
        <v>337</v>
      </c>
      <c r="G95" s="197" t="s">
        <v>337</v>
      </c>
      <c r="H95" s="197" t="s">
        <v>337</v>
      </c>
      <c r="I95" s="203" t="s">
        <v>338</v>
      </c>
      <c r="J95" s="203" t="s">
        <v>339</v>
      </c>
      <c r="K95" s="203" t="s">
        <v>340</v>
      </c>
    </row>
    <row r="96" spans="1:13" s="163" customFormat="1" x14ac:dyDescent="0.25">
      <c r="A96">
        <v>1</v>
      </c>
      <c r="B96" s="222" t="str">
        <f>IF('FEUILLE SAISIE'!B157="","",'FEUILLE SAISIE'!B157)</f>
        <v/>
      </c>
      <c r="C96" s="223">
        <f>'FEUILLE SAISIE'!D157</f>
        <v>0</v>
      </c>
      <c r="D96" s="224" t="str">
        <f>IF($B96="","",VLOOKUP($B96,listes!$I$5:$M$64,2,FALSE))</f>
        <v/>
      </c>
      <c r="E96" s="196" t="str">
        <f>IF($B96="","",($C96)*$D96/100)</f>
        <v/>
      </c>
      <c r="F96" s="225" t="str">
        <f>IF($B96="","",VLOOKUP($B96,listes!$I$5:$M$64,3,FALSE))</f>
        <v/>
      </c>
      <c r="G96" s="225" t="str">
        <f>IF($B96="","",VLOOKUP($B96,listes!$I$5:$M$64,4,FALSE))</f>
        <v/>
      </c>
      <c r="H96" s="225" t="str">
        <f>IF($B96="","",VLOOKUP($B96,listes!$I$5:$M$64,5,FALSE))</f>
        <v/>
      </c>
      <c r="I96" s="226" t="str">
        <f>IF($B96="","",$E96*F96)</f>
        <v/>
      </c>
      <c r="J96" s="226" t="str">
        <f t="shared" ref="J96:K96" si="9">IF($B96="","",$E96*G96)</f>
        <v/>
      </c>
      <c r="K96" s="226" t="str">
        <f t="shared" si="9"/>
        <v/>
      </c>
    </row>
    <row r="97" spans="1:12" s="163" customFormat="1" x14ac:dyDescent="0.25">
      <c r="A97">
        <v>2</v>
      </c>
      <c r="B97" s="222" t="str">
        <f>IF('FEUILLE SAISIE'!B158="","",'FEUILLE SAISIE'!B158)</f>
        <v/>
      </c>
      <c r="C97" s="223">
        <f>'FEUILLE SAISIE'!D158</f>
        <v>0</v>
      </c>
      <c r="D97" s="224" t="str">
        <f>IF($B97="","",VLOOKUP($B97,listes!$I$5:$M$64,2,FALSE))</f>
        <v/>
      </c>
      <c r="E97" s="196" t="str">
        <f t="shared" ref="E97:E105" si="10">IF($B97="","",($C97)*$D97/100)</f>
        <v/>
      </c>
      <c r="F97" s="225" t="str">
        <f>IF($B97="","",VLOOKUP($B97,listes!$I$5:$M$64,3,FALSE))</f>
        <v/>
      </c>
      <c r="G97" s="225" t="str">
        <f>IF($B97="","",VLOOKUP($B97,listes!$I$5:$M$64,4,FALSE))</f>
        <v/>
      </c>
      <c r="H97" s="225" t="str">
        <f>IF($B97="","",VLOOKUP($B97,listes!$I$5:$M$64,5,FALSE))</f>
        <v/>
      </c>
      <c r="I97" s="226" t="str">
        <f t="shared" ref="I97:I105" si="11">IF($B97="","",$E97*F97)</f>
        <v/>
      </c>
      <c r="J97" s="226" t="str">
        <f t="shared" ref="J97:J105" si="12">IF($B97="","",$E97*G97)</f>
        <v/>
      </c>
      <c r="K97" s="226" t="str">
        <f t="shared" ref="K97:K105" si="13">IF($B97="","",$E97*H97)</f>
        <v/>
      </c>
    </row>
    <row r="98" spans="1:12" s="163" customFormat="1" x14ac:dyDescent="0.25">
      <c r="A98">
        <v>3</v>
      </c>
      <c r="B98" s="222" t="str">
        <f>IF('FEUILLE SAISIE'!B159="","",'FEUILLE SAISIE'!B159)</f>
        <v/>
      </c>
      <c r="C98" s="223">
        <f>'FEUILLE SAISIE'!D159</f>
        <v>0</v>
      </c>
      <c r="D98" s="224" t="str">
        <f>IF($B98="","",VLOOKUP($B98,listes!$I$5:$M$64,2,FALSE))</f>
        <v/>
      </c>
      <c r="E98" s="196" t="str">
        <f t="shared" si="10"/>
        <v/>
      </c>
      <c r="F98" s="225" t="str">
        <f>IF($B98="","",VLOOKUP($B98,listes!$I$5:$M$64,3,FALSE))</f>
        <v/>
      </c>
      <c r="G98" s="225" t="str">
        <f>IF($B98="","",VLOOKUP($B98,listes!$I$5:$M$64,4,FALSE))</f>
        <v/>
      </c>
      <c r="H98" s="225" t="str">
        <f>IF($B98="","",VLOOKUP($B98,listes!$I$5:$M$64,5,FALSE))</f>
        <v/>
      </c>
      <c r="I98" s="226" t="str">
        <f t="shared" si="11"/>
        <v/>
      </c>
      <c r="J98" s="226" t="str">
        <f t="shared" si="12"/>
        <v/>
      </c>
      <c r="K98" s="226" t="str">
        <f t="shared" si="13"/>
        <v/>
      </c>
    </row>
    <row r="99" spans="1:12" s="163" customFormat="1" x14ac:dyDescent="0.25">
      <c r="A99">
        <v>4</v>
      </c>
      <c r="B99" s="222" t="str">
        <f>IF('FEUILLE SAISIE'!B160="","",'FEUILLE SAISIE'!B160)</f>
        <v/>
      </c>
      <c r="C99" s="223">
        <f>'FEUILLE SAISIE'!D160</f>
        <v>0</v>
      </c>
      <c r="D99" s="224" t="str">
        <f>IF($B99="","",VLOOKUP($B99,listes!$I$5:$M$64,2,FALSE))</f>
        <v/>
      </c>
      <c r="E99" s="196" t="str">
        <f t="shared" si="10"/>
        <v/>
      </c>
      <c r="F99" s="225" t="str">
        <f>IF($B99="","",VLOOKUP($B99,listes!$I$5:$M$64,3,FALSE))</f>
        <v/>
      </c>
      <c r="G99" s="225" t="str">
        <f>IF($B99="","",VLOOKUP($B99,listes!$I$5:$M$64,4,FALSE))</f>
        <v/>
      </c>
      <c r="H99" s="225" t="str">
        <f>IF($B99="","",VLOOKUP($B99,listes!$I$5:$M$64,5,FALSE))</f>
        <v/>
      </c>
      <c r="I99" s="226" t="str">
        <f t="shared" si="11"/>
        <v/>
      </c>
      <c r="J99" s="226" t="str">
        <f t="shared" si="12"/>
        <v/>
      </c>
      <c r="K99" s="226" t="str">
        <f t="shared" si="13"/>
        <v/>
      </c>
    </row>
    <row r="100" spans="1:12" x14ac:dyDescent="0.25">
      <c r="A100">
        <v>5</v>
      </c>
      <c r="B100" s="222" t="str">
        <f>IF('FEUILLE SAISIE'!B161="","",'FEUILLE SAISIE'!B161)</f>
        <v/>
      </c>
      <c r="C100" s="223">
        <f>'FEUILLE SAISIE'!D161</f>
        <v>0</v>
      </c>
      <c r="D100" s="224" t="str">
        <f>IF($B100="","",VLOOKUP($B100,listes!$I$5:$M$64,2,FALSE))</f>
        <v/>
      </c>
      <c r="E100" s="196" t="str">
        <f t="shared" si="10"/>
        <v/>
      </c>
      <c r="F100" s="225" t="str">
        <f>IF($B100="","",VLOOKUP($B100,listes!$I$5:$M$64,3,FALSE))</f>
        <v/>
      </c>
      <c r="G100" s="225" t="str">
        <f>IF($B100="","",VLOOKUP($B100,listes!$I$5:$M$64,4,FALSE))</f>
        <v/>
      </c>
      <c r="H100" s="225" t="str">
        <f>IF($B100="","",VLOOKUP($B100,listes!$I$5:$M$64,5,FALSE))</f>
        <v/>
      </c>
      <c r="I100" s="226" t="str">
        <f t="shared" si="11"/>
        <v/>
      </c>
      <c r="J100" s="226" t="str">
        <f t="shared" si="12"/>
        <v/>
      </c>
      <c r="K100" s="226" t="str">
        <f t="shared" si="13"/>
        <v/>
      </c>
    </row>
    <row r="101" spans="1:12" x14ac:dyDescent="0.25">
      <c r="A101">
        <v>6</v>
      </c>
      <c r="B101" s="222" t="str">
        <f>IF('FEUILLE SAISIE'!B162="","",'FEUILLE SAISIE'!B162)</f>
        <v/>
      </c>
      <c r="C101" s="223">
        <f>'FEUILLE SAISIE'!D162</f>
        <v>0</v>
      </c>
      <c r="D101" s="224" t="str">
        <f>IF($B101="","",VLOOKUP($B101,listes!$I$5:$M$64,2,FALSE))</f>
        <v/>
      </c>
      <c r="E101" s="196" t="str">
        <f t="shared" si="10"/>
        <v/>
      </c>
      <c r="F101" s="225" t="str">
        <f>IF($B101="","",VLOOKUP($B101,listes!$I$5:$M$64,3,FALSE))</f>
        <v/>
      </c>
      <c r="G101" s="225" t="str">
        <f>IF($B101="","",VLOOKUP($B101,listes!$I$5:$M$64,4,FALSE))</f>
        <v/>
      </c>
      <c r="H101" s="225" t="str">
        <f>IF($B101="","",VLOOKUP($B101,listes!$I$5:$M$64,5,FALSE))</f>
        <v/>
      </c>
      <c r="I101" s="226" t="str">
        <f t="shared" si="11"/>
        <v/>
      </c>
      <c r="J101" s="226" t="str">
        <f t="shared" si="12"/>
        <v/>
      </c>
      <c r="K101" s="226" t="str">
        <f t="shared" si="13"/>
        <v/>
      </c>
    </row>
    <row r="102" spans="1:12" x14ac:dyDescent="0.25">
      <c r="A102">
        <v>7</v>
      </c>
      <c r="B102" s="222" t="str">
        <f>IF('FEUILLE SAISIE'!B163="","",'FEUILLE SAISIE'!B163)</f>
        <v/>
      </c>
      <c r="C102" s="223">
        <f>'FEUILLE SAISIE'!D163</f>
        <v>0</v>
      </c>
      <c r="D102" s="224" t="str">
        <f>IF($B102="","",VLOOKUP($B102,listes!$I$5:$M$64,2,FALSE))</f>
        <v/>
      </c>
      <c r="E102" s="196" t="str">
        <f t="shared" si="10"/>
        <v/>
      </c>
      <c r="F102" s="225" t="str">
        <f>IF($B102="","",VLOOKUP($B102,listes!$I$5:$M$64,3,FALSE))</f>
        <v/>
      </c>
      <c r="G102" s="225" t="str">
        <f>IF($B102="","",VLOOKUP($B102,listes!$I$5:$M$64,4,FALSE))</f>
        <v/>
      </c>
      <c r="H102" s="225" t="str">
        <f>IF($B102="","",VLOOKUP($B102,listes!$I$5:$M$64,5,FALSE))</f>
        <v/>
      </c>
      <c r="I102" s="226" t="str">
        <f t="shared" si="11"/>
        <v/>
      </c>
      <c r="J102" s="226" t="str">
        <f t="shared" si="12"/>
        <v/>
      </c>
      <c r="K102" s="226" t="str">
        <f t="shared" si="13"/>
        <v/>
      </c>
    </row>
    <row r="103" spans="1:12" x14ac:dyDescent="0.25">
      <c r="A103">
        <v>8</v>
      </c>
      <c r="B103" s="222" t="str">
        <f>IF('FEUILLE SAISIE'!B164="","",'FEUILLE SAISIE'!B164)</f>
        <v/>
      </c>
      <c r="C103" s="223">
        <f>'FEUILLE SAISIE'!D164</f>
        <v>0</v>
      </c>
      <c r="D103" s="224" t="str">
        <f>IF($B103="","",VLOOKUP($B103,listes!$I$5:$M$64,2,FALSE))</f>
        <v/>
      </c>
      <c r="E103" s="196" t="str">
        <f t="shared" si="10"/>
        <v/>
      </c>
      <c r="F103" s="225" t="str">
        <f>IF($B103="","",VLOOKUP($B103,listes!$I$5:$M$64,3,FALSE))</f>
        <v/>
      </c>
      <c r="G103" s="225" t="str">
        <f>IF($B103="","",VLOOKUP($B103,listes!$I$5:$M$64,4,FALSE))</f>
        <v/>
      </c>
      <c r="H103" s="225" t="str">
        <f>IF($B103="","",VLOOKUP($B103,listes!$I$5:$M$64,5,FALSE))</f>
        <v/>
      </c>
      <c r="I103" s="226" t="str">
        <f t="shared" si="11"/>
        <v/>
      </c>
      <c r="J103" s="226" t="str">
        <f t="shared" si="12"/>
        <v/>
      </c>
      <c r="K103" s="226" t="str">
        <f t="shared" si="13"/>
        <v/>
      </c>
    </row>
    <row r="104" spans="1:12" x14ac:dyDescent="0.25">
      <c r="A104">
        <v>9</v>
      </c>
      <c r="B104" s="222" t="str">
        <f>IF('FEUILLE SAISIE'!B165="","",'FEUILLE SAISIE'!B165)</f>
        <v/>
      </c>
      <c r="C104" s="223">
        <f>'FEUILLE SAISIE'!D165</f>
        <v>0</v>
      </c>
      <c r="D104" s="224" t="str">
        <f>IF($B104="","",VLOOKUP($B104,listes!$I$5:$M$64,2,FALSE))</f>
        <v/>
      </c>
      <c r="E104" s="196" t="str">
        <f t="shared" si="10"/>
        <v/>
      </c>
      <c r="F104" s="225" t="str">
        <f>IF($B104="","",VLOOKUP($B104,listes!$I$5:$M$64,3,FALSE))</f>
        <v/>
      </c>
      <c r="G104" s="225" t="str">
        <f>IF($B104="","",VLOOKUP($B104,listes!$I$5:$M$64,4,FALSE))</f>
        <v/>
      </c>
      <c r="H104" s="225" t="str">
        <f>IF($B104="","",VLOOKUP($B104,listes!$I$5:$M$64,5,FALSE))</f>
        <v/>
      </c>
      <c r="I104" s="226" t="str">
        <f t="shared" si="11"/>
        <v/>
      </c>
      <c r="J104" s="226" t="str">
        <f t="shared" si="12"/>
        <v/>
      </c>
      <c r="K104" s="226" t="str">
        <f t="shared" si="13"/>
        <v/>
      </c>
    </row>
    <row r="105" spans="1:12" ht="15.75" thickBot="1" x14ac:dyDescent="0.3">
      <c r="A105">
        <v>10</v>
      </c>
      <c r="B105" s="222" t="str">
        <f>IF('FEUILLE SAISIE'!B166="","",'FEUILLE SAISIE'!B166)</f>
        <v/>
      </c>
      <c r="C105" s="223">
        <f>'FEUILLE SAISIE'!D166</f>
        <v>0</v>
      </c>
      <c r="D105" s="224" t="str">
        <f>IF($B105="","",VLOOKUP($B105,listes!$I$5:$M$64,2,FALSE))</f>
        <v/>
      </c>
      <c r="E105" s="196" t="str">
        <f t="shared" si="10"/>
        <v/>
      </c>
      <c r="F105" s="227" t="str">
        <f>IF($B105="","",VLOOKUP($B105,listes!$I$5:$M$64,3,FALSE))</f>
        <v/>
      </c>
      <c r="G105" s="227" t="str">
        <f>IF($B105="","",VLOOKUP($B105,listes!$I$5:$M$64,4,FALSE))</f>
        <v/>
      </c>
      <c r="H105" s="227" t="str">
        <f>IF($B105="","",VLOOKUP($B105,listes!$I$5:$M$64,5,FALSE))</f>
        <v/>
      </c>
      <c r="I105" s="228" t="str">
        <f t="shared" si="11"/>
        <v/>
      </c>
      <c r="J105" s="228" t="str">
        <f t="shared" si="12"/>
        <v/>
      </c>
      <c r="K105" s="228" t="str">
        <f t="shared" si="13"/>
        <v/>
      </c>
    </row>
    <row r="106" spans="1:12" ht="24.2" customHeight="1" thickBot="1" x14ac:dyDescent="0.3">
      <c r="F106" s="229"/>
      <c r="G106" s="230"/>
      <c r="H106" s="24" t="s">
        <v>597</v>
      </c>
      <c r="I106" s="231">
        <f>SUM(I96:I104)</f>
        <v>0</v>
      </c>
      <c r="J106" s="231">
        <f t="shared" ref="J106:K106" si="14">SUM(J96:J104)</f>
        <v>0</v>
      </c>
      <c r="K106" s="232">
        <f t="shared" si="14"/>
        <v>0</v>
      </c>
    </row>
    <row r="108" spans="1:12" s="163" customFormat="1" ht="12.75" customHeight="1" x14ac:dyDescent="0.2">
      <c r="A108" s="537" t="s">
        <v>599</v>
      </c>
      <c r="B108" s="537"/>
      <c r="C108" s="537"/>
      <c r="D108" s="537"/>
      <c r="E108" s="537"/>
      <c r="F108" s="537"/>
      <c r="G108" s="537"/>
      <c r="H108" s="537"/>
      <c r="I108" s="537"/>
      <c r="J108" s="161"/>
      <c r="K108" s="161"/>
      <c r="L108" s="161"/>
    </row>
    <row r="109" spans="1:12" s="163" customFormat="1" ht="20.25" x14ac:dyDescent="0.2">
      <c r="A109" s="162"/>
      <c r="B109" s="233"/>
      <c r="C109" s="233"/>
      <c r="D109" s="233"/>
      <c r="E109" s="233"/>
      <c r="F109" s="233"/>
      <c r="G109" s="233"/>
      <c r="H109" s="233"/>
      <c r="I109" s="161"/>
      <c r="J109" s="161"/>
      <c r="K109" s="161"/>
      <c r="L109" s="161"/>
    </row>
    <row r="110" spans="1:12" s="163" customFormat="1" ht="12.75" x14ac:dyDescent="0.2">
      <c r="A110" s="161"/>
      <c r="B110" s="161"/>
      <c r="C110" s="161"/>
      <c r="D110" s="161"/>
      <c r="E110" s="161"/>
      <c r="F110" s="161"/>
      <c r="G110" s="161"/>
      <c r="H110" s="161"/>
      <c r="I110" s="161"/>
      <c r="J110" s="161"/>
      <c r="K110" s="161"/>
    </row>
    <row r="111" spans="1:12" s="163" customFormat="1" ht="38.25" customHeight="1" x14ac:dyDescent="0.2">
      <c r="B111" s="554" t="s">
        <v>498</v>
      </c>
      <c r="C111" s="234" t="s">
        <v>499</v>
      </c>
      <c r="D111" s="235" t="s">
        <v>500</v>
      </c>
      <c r="E111" s="178" t="s">
        <v>331</v>
      </c>
      <c r="F111" s="178" t="s">
        <v>332</v>
      </c>
      <c r="G111" s="178" t="s">
        <v>333</v>
      </c>
      <c r="H111" s="206" t="s">
        <v>331</v>
      </c>
      <c r="I111" s="206" t="s">
        <v>332</v>
      </c>
      <c r="J111" s="206" t="s">
        <v>333</v>
      </c>
      <c r="K111" s="161"/>
      <c r="L111" s="161"/>
    </row>
    <row r="112" spans="1:12" s="163" customFormat="1" ht="12.75" x14ac:dyDescent="0.2">
      <c r="B112" s="554"/>
      <c r="C112" s="236" t="s">
        <v>501</v>
      </c>
      <c r="D112" s="66" t="s">
        <v>502</v>
      </c>
      <c r="E112" s="66" t="s">
        <v>600</v>
      </c>
      <c r="F112" s="66" t="s">
        <v>601</v>
      </c>
      <c r="G112" s="66" t="s">
        <v>602</v>
      </c>
      <c r="H112" s="203" t="s">
        <v>338</v>
      </c>
      <c r="I112" s="203" t="s">
        <v>339</v>
      </c>
      <c r="J112" s="203" t="s">
        <v>340</v>
      </c>
      <c r="K112" s="161"/>
      <c r="L112" s="161"/>
    </row>
    <row r="113" spans="1:12" s="163" customFormat="1" ht="12.75" x14ac:dyDescent="0.2">
      <c r="A113" s="193"/>
      <c r="B113" s="237" t="s">
        <v>503</v>
      </c>
      <c r="C113" s="182">
        <f>'FEUILLE SAISIE'!D228</f>
        <v>0</v>
      </c>
      <c r="D113" s="238">
        <v>15</v>
      </c>
      <c r="E113" s="239">
        <v>28.5</v>
      </c>
      <c r="F113" s="239">
        <v>6.0999999046325684</v>
      </c>
      <c r="G113" s="239">
        <v>1.7999999523162842</v>
      </c>
      <c r="H113" s="240">
        <f>($C113*$D113)/1000*E113</f>
        <v>0</v>
      </c>
      <c r="I113" s="240">
        <f t="shared" ref="I113:J113" si="15">($C113*$D113)/1000*F113</f>
        <v>0</v>
      </c>
      <c r="J113" s="240">
        <f t="shared" si="15"/>
        <v>0</v>
      </c>
      <c r="K113" s="161"/>
      <c r="L113" s="161"/>
    </row>
    <row r="114" spans="1:12" s="163" customFormat="1" ht="12.75" x14ac:dyDescent="0.2">
      <c r="A114" s="174"/>
      <c r="B114" s="241" t="s">
        <v>504</v>
      </c>
      <c r="C114" s="182">
        <f>'FEUILLE SAISIE'!D229</f>
        <v>0</v>
      </c>
      <c r="D114" s="238">
        <v>40</v>
      </c>
      <c r="E114" s="239">
        <v>24</v>
      </c>
      <c r="F114" s="239">
        <v>6</v>
      </c>
      <c r="G114" s="239">
        <v>1.6</v>
      </c>
      <c r="H114" s="240">
        <f t="shared" ref="H114:H129" si="16">($C114*$D114)/1000*E114</f>
        <v>0</v>
      </c>
      <c r="I114" s="240">
        <f t="shared" ref="I114:I129" si="17">($C114*$D114)/1000*F114</f>
        <v>0</v>
      </c>
      <c r="J114" s="240">
        <f t="shared" ref="J114:J129" si="18">($C114*$D114)/1000*G114</f>
        <v>0</v>
      </c>
      <c r="K114" s="174"/>
      <c r="L114" s="174"/>
    </row>
    <row r="115" spans="1:12" s="163" customFormat="1" ht="12.75" x14ac:dyDescent="0.2">
      <c r="A115" s="174"/>
      <c r="B115" s="241" t="s">
        <v>505</v>
      </c>
      <c r="C115" s="182">
        <f>'FEUILLE SAISIE'!D230</f>
        <v>0</v>
      </c>
      <c r="D115" s="238">
        <v>70</v>
      </c>
      <c r="E115" s="239">
        <v>28.5</v>
      </c>
      <c r="F115" s="239">
        <v>6</v>
      </c>
      <c r="G115" s="239">
        <v>1.6</v>
      </c>
      <c r="H115" s="240">
        <f t="shared" si="16"/>
        <v>0</v>
      </c>
      <c r="I115" s="240">
        <f t="shared" si="17"/>
        <v>0</v>
      </c>
      <c r="J115" s="240">
        <f t="shared" si="18"/>
        <v>0</v>
      </c>
      <c r="K115" s="174"/>
      <c r="L115" s="174"/>
    </row>
    <row r="116" spans="1:12" x14ac:dyDescent="0.25">
      <c r="A116" s="174"/>
      <c r="B116" s="241" t="s">
        <v>517</v>
      </c>
      <c r="C116" s="182">
        <f>'FEUILLE SAISIE'!D231</f>
        <v>0</v>
      </c>
      <c r="D116" s="242"/>
      <c r="E116" s="239"/>
      <c r="F116" s="239"/>
      <c r="G116" s="239"/>
      <c r="H116" s="240">
        <f t="shared" si="16"/>
        <v>0</v>
      </c>
      <c r="I116" s="240">
        <f t="shared" si="17"/>
        <v>0</v>
      </c>
      <c r="J116" s="240">
        <f t="shared" si="18"/>
        <v>0</v>
      </c>
    </row>
    <row r="117" spans="1:12" x14ac:dyDescent="0.25">
      <c r="A117" s="174"/>
      <c r="B117" s="241" t="s">
        <v>506</v>
      </c>
      <c r="C117" s="182">
        <f>'FEUILLE SAISIE'!D232</f>
        <v>0</v>
      </c>
      <c r="D117" s="238">
        <v>380</v>
      </c>
      <c r="E117" s="239">
        <v>24</v>
      </c>
      <c r="F117" s="239">
        <v>7</v>
      </c>
      <c r="G117" s="239">
        <v>4.0999999046325684</v>
      </c>
      <c r="H117" s="240">
        <f t="shared" si="16"/>
        <v>0</v>
      </c>
      <c r="I117" s="240">
        <f t="shared" si="17"/>
        <v>0</v>
      </c>
      <c r="J117" s="240">
        <f t="shared" si="18"/>
        <v>0</v>
      </c>
    </row>
    <row r="118" spans="1:12" x14ac:dyDescent="0.25">
      <c r="A118" s="174"/>
      <c r="B118" s="241" t="s">
        <v>507</v>
      </c>
      <c r="C118" s="182">
        <f>'FEUILLE SAISIE'!D233</f>
        <v>0</v>
      </c>
      <c r="D118" s="238">
        <v>700</v>
      </c>
      <c r="E118" s="239">
        <v>24</v>
      </c>
      <c r="F118" s="239">
        <v>7</v>
      </c>
      <c r="G118" s="239">
        <v>4.0999999046325684</v>
      </c>
      <c r="H118" s="240">
        <f t="shared" si="16"/>
        <v>0</v>
      </c>
      <c r="I118" s="240">
        <f t="shared" si="17"/>
        <v>0</v>
      </c>
      <c r="J118" s="240">
        <f t="shared" si="18"/>
        <v>0</v>
      </c>
    </row>
    <row r="119" spans="1:12" x14ac:dyDescent="0.25">
      <c r="A119" s="174"/>
      <c r="B119" s="241" t="s">
        <v>518</v>
      </c>
      <c r="C119" s="182">
        <f>'FEUILLE SAISIE'!D234</f>
        <v>0</v>
      </c>
      <c r="D119" s="242"/>
      <c r="E119" s="239"/>
      <c r="F119" s="239"/>
      <c r="G119" s="239"/>
      <c r="H119" s="240">
        <f t="shared" si="16"/>
        <v>0</v>
      </c>
      <c r="I119" s="240">
        <f t="shared" si="17"/>
        <v>0</v>
      </c>
      <c r="J119" s="240">
        <f t="shared" si="18"/>
        <v>0</v>
      </c>
    </row>
    <row r="120" spans="1:12" x14ac:dyDescent="0.25">
      <c r="A120" s="174"/>
      <c r="B120" s="241" t="s">
        <v>519</v>
      </c>
      <c r="C120" s="182">
        <f>'FEUILLE SAISIE'!D235</f>
        <v>0</v>
      </c>
      <c r="D120" s="242"/>
      <c r="E120" s="239"/>
      <c r="F120" s="239"/>
      <c r="G120" s="239"/>
      <c r="H120" s="240">
        <f t="shared" si="16"/>
        <v>0</v>
      </c>
      <c r="I120" s="240">
        <f t="shared" si="17"/>
        <v>0</v>
      </c>
      <c r="J120" s="240">
        <f t="shared" si="18"/>
        <v>0</v>
      </c>
    </row>
    <row r="121" spans="1:12" x14ac:dyDescent="0.25">
      <c r="A121" s="174"/>
      <c r="B121" s="241" t="s">
        <v>508</v>
      </c>
      <c r="C121" s="182">
        <f>'FEUILLE SAISIE'!D236</f>
        <v>0</v>
      </c>
      <c r="D121" s="238">
        <v>550</v>
      </c>
      <c r="E121" s="239">
        <v>24</v>
      </c>
      <c r="F121" s="239">
        <v>7</v>
      </c>
      <c r="G121" s="239">
        <v>4.0999999046325684</v>
      </c>
      <c r="H121" s="240">
        <f t="shared" si="16"/>
        <v>0</v>
      </c>
      <c r="I121" s="240">
        <f t="shared" si="17"/>
        <v>0</v>
      </c>
      <c r="J121" s="240">
        <f t="shared" si="18"/>
        <v>0</v>
      </c>
    </row>
    <row r="122" spans="1:12" x14ac:dyDescent="0.25">
      <c r="A122" s="174"/>
      <c r="B122" s="241" t="s">
        <v>520</v>
      </c>
      <c r="C122" s="182">
        <f>'FEUILLE SAISIE'!D237</f>
        <v>0</v>
      </c>
      <c r="D122" s="242"/>
      <c r="E122" s="239"/>
      <c r="F122" s="239"/>
      <c r="G122" s="239"/>
      <c r="H122" s="240">
        <f t="shared" si="16"/>
        <v>0</v>
      </c>
      <c r="I122" s="240">
        <f t="shared" si="17"/>
        <v>0</v>
      </c>
      <c r="J122" s="240">
        <f t="shared" si="18"/>
        <v>0</v>
      </c>
    </row>
    <row r="123" spans="1:12" x14ac:dyDescent="0.25">
      <c r="A123" s="174"/>
      <c r="B123" s="241" t="s">
        <v>521</v>
      </c>
      <c r="C123" s="182">
        <f>'FEUILLE SAISIE'!D238</f>
        <v>0</v>
      </c>
      <c r="D123" s="242"/>
      <c r="E123" s="239"/>
      <c r="F123" s="239"/>
      <c r="G123" s="239"/>
      <c r="H123" s="240">
        <f t="shared" si="16"/>
        <v>0</v>
      </c>
      <c r="I123" s="240">
        <f t="shared" si="17"/>
        <v>0</v>
      </c>
      <c r="J123" s="240">
        <f t="shared" si="18"/>
        <v>0</v>
      </c>
    </row>
    <row r="124" spans="1:12" x14ac:dyDescent="0.25">
      <c r="A124" s="174"/>
      <c r="B124" s="241" t="s">
        <v>509</v>
      </c>
      <c r="C124" s="182">
        <f>'FEUILLE SAISIE'!D239</f>
        <v>0</v>
      </c>
      <c r="D124" s="238">
        <v>400</v>
      </c>
      <c r="E124" s="239">
        <v>24</v>
      </c>
      <c r="F124" s="239">
        <v>7</v>
      </c>
      <c r="G124" s="239">
        <v>4.0999999046325684</v>
      </c>
      <c r="H124" s="240">
        <f t="shared" si="16"/>
        <v>0</v>
      </c>
      <c r="I124" s="240">
        <f t="shared" si="17"/>
        <v>0</v>
      </c>
      <c r="J124" s="240">
        <f t="shared" si="18"/>
        <v>0</v>
      </c>
    </row>
    <row r="125" spans="1:12" x14ac:dyDescent="0.25">
      <c r="A125" s="174"/>
      <c r="B125" s="241" t="s">
        <v>522</v>
      </c>
      <c r="C125" s="182">
        <f>'FEUILLE SAISIE'!D240</f>
        <v>0</v>
      </c>
      <c r="D125" s="242"/>
      <c r="E125" s="239"/>
      <c r="F125" s="239"/>
      <c r="G125" s="239"/>
      <c r="H125" s="240">
        <f t="shared" si="16"/>
        <v>0</v>
      </c>
      <c r="I125" s="240">
        <f t="shared" si="17"/>
        <v>0</v>
      </c>
      <c r="J125" s="240">
        <f t="shared" si="18"/>
        <v>0</v>
      </c>
    </row>
    <row r="126" spans="1:12" x14ac:dyDescent="0.25">
      <c r="A126" s="174"/>
      <c r="B126" s="241" t="s">
        <v>523</v>
      </c>
      <c r="C126" s="182">
        <f>'FEUILLE SAISIE'!D241</f>
        <v>0</v>
      </c>
      <c r="D126" s="242"/>
      <c r="E126" s="239"/>
      <c r="F126" s="239"/>
      <c r="G126" s="239"/>
      <c r="H126" s="240">
        <f t="shared" si="16"/>
        <v>0</v>
      </c>
      <c r="I126" s="240">
        <f t="shared" si="17"/>
        <v>0</v>
      </c>
      <c r="J126" s="240">
        <f t="shared" si="18"/>
        <v>0</v>
      </c>
    </row>
    <row r="127" spans="1:12" x14ac:dyDescent="0.25">
      <c r="A127" s="174"/>
      <c r="B127" s="241" t="s">
        <v>510</v>
      </c>
      <c r="C127" s="182">
        <f>'FEUILLE SAISIE'!D242</f>
        <v>0</v>
      </c>
      <c r="D127" s="238">
        <v>660</v>
      </c>
      <c r="E127" s="239">
        <v>24</v>
      </c>
      <c r="F127" s="239">
        <v>7</v>
      </c>
      <c r="G127" s="239">
        <v>4.0999999046325684</v>
      </c>
      <c r="H127" s="240">
        <f t="shared" si="16"/>
        <v>0</v>
      </c>
      <c r="I127" s="240">
        <f t="shared" si="17"/>
        <v>0</v>
      </c>
      <c r="J127" s="240">
        <f t="shared" si="18"/>
        <v>0</v>
      </c>
    </row>
    <row r="128" spans="1:12" x14ac:dyDescent="0.25">
      <c r="A128" s="174"/>
      <c r="B128" s="241" t="s">
        <v>511</v>
      </c>
      <c r="C128" s="182">
        <f>'FEUILLE SAISIE'!D243</f>
        <v>0</v>
      </c>
      <c r="D128" s="238">
        <v>50</v>
      </c>
      <c r="E128" s="239">
        <v>24</v>
      </c>
      <c r="F128" s="239">
        <v>7</v>
      </c>
      <c r="G128" s="239">
        <v>4.0999999046325684</v>
      </c>
      <c r="H128" s="240">
        <f t="shared" si="16"/>
        <v>0</v>
      </c>
      <c r="I128" s="240">
        <f t="shared" si="17"/>
        <v>0</v>
      </c>
      <c r="J128" s="240">
        <f t="shared" si="18"/>
        <v>0</v>
      </c>
    </row>
    <row r="129" spans="1:14" ht="15.75" thickBot="1" x14ac:dyDescent="0.3">
      <c r="A129" s="174"/>
      <c r="B129" s="241" t="s">
        <v>524</v>
      </c>
      <c r="C129" s="182">
        <f>'FEUILLE SAISIE'!D244</f>
        <v>0</v>
      </c>
      <c r="D129" s="242"/>
      <c r="E129" s="239"/>
      <c r="F129" s="239"/>
      <c r="G129" s="239"/>
      <c r="H129" s="240">
        <f t="shared" si="16"/>
        <v>0</v>
      </c>
      <c r="I129" s="240">
        <f t="shared" si="17"/>
        <v>0</v>
      </c>
      <c r="J129" s="240">
        <f t="shared" si="18"/>
        <v>0</v>
      </c>
    </row>
    <row r="130" spans="1:14" ht="24.2" customHeight="1" thickBot="1" x14ac:dyDescent="0.3">
      <c r="E130" s="243"/>
      <c r="F130" s="244"/>
      <c r="G130" s="24" t="s">
        <v>603</v>
      </c>
      <c r="H130" s="231">
        <f>SUM(H113:H129)</f>
        <v>0</v>
      </c>
      <c r="I130" s="231">
        <f>SUM(I113:I129)</f>
        <v>0</v>
      </c>
      <c r="J130" s="232">
        <f>SUM(J113:J129)</f>
        <v>0</v>
      </c>
    </row>
    <row r="134" spans="1:14" s="163" customFormat="1" ht="12.75" customHeight="1" x14ac:dyDescent="0.2">
      <c r="A134" s="537" t="s">
        <v>604</v>
      </c>
      <c r="B134" s="537"/>
      <c r="C134" s="537"/>
      <c r="D134" s="537"/>
      <c r="E134" s="537"/>
      <c r="F134" s="537"/>
      <c r="G134" s="537"/>
      <c r="H134" s="537"/>
      <c r="I134" s="537"/>
      <c r="J134" s="161"/>
      <c r="K134" s="161"/>
      <c r="L134" s="161"/>
    </row>
    <row r="135" spans="1:14" s="163" customFormat="1" ht="20.25" x14ac:dyDescent="0.2">
      <c r="A135" s="162"/>
      <c r="B135" s="233"/>
      <c r="C135" s="233"/>
      <c r="D135" s="233"/>
      <c r="E135" s="233"/>
      <c r="F135" s="233"/>
      <c r="G135" s="233"/>
      <c r="H135" s="233"/>
      <c r="I135" s="161"/>
      <c r="J135" s="161"/>
      <c r="K135" s="161"/>
      <c r="L135" s="161"/>
    </row>
    <row r="136" spans="1:14" s="163" customFormat="1" ht="12.75" x14ac:dyDescent="0.2">
      <c r="A136" s="161"/>
      <c r="B136" s="161"/>
      <c r="C136" s="161"/>
      <c r="D136" s="161"/>
      <c r="E136" s="161"/>
      <c r="F136" s="161"/>
      <c r="G136" s="161"/>
      <c r="H136" s="161"/>
      <c r="I136" s="161"/>
      <c r="J136" s="161"/>
      <c r="K136" s="161"/>
      <c r="L136" s="161"/>
    </row>
    <row r="137" spans="1:14" s="163" customFormat="1" ht="51.75" thickBot="1" x14ac:dyDescent="0.3">
      <c r="B137" s="555" t="s">
        <v>605</v>
      </c>
      <c r="C137" s="543"/>
      <c r="D137" s="245" t="s">
        <v>606</v>
      </c>
      <c r="E137" s="221" t="s">
        <v>331</v>
      </c>
      <c r="F137" s="221" t="s">
        <v>551</v>
      </c>
      <c r="G137" s="221" t="s">
        <v>552</v>
      </c>
      <c r="H137" s="185" t="s">
        <v>331</v>
      </c>
      <c r="I137" s="185" t="s">
        <v>551</v>
      </c>
      <c r="J137" s="185" t="s">
        <v>552</v>
      </c>
      <c r="K137" s="246" t="s">
        <v>553</v>
      </c>
      <c r="L137" s="161"/>
      <c r="M137" s="161"/>
      <c r="N137" s="161"/>
    </row>
    <row r="138" spans="1:14" s="163" customFormat="1" ht="38.25" x14ac:dyDescent="0.25">
      <c r="B138" s="556"/>
      <c r="C138" s="543"/>
      <c r="D138" s="169" t="s">
        <v>607</v>
      </c>
      <c r="E138" s="247" t="s">
        <v>563</v>
      </c>
      <c r="F138" s="247" t="s">
        <v>564</v>
      </c>
      <c r="G138" s="247" t="s">
        <v>565</v>
      </c>
      <c r="H138" s="169" t="s">
        <v>556</v>
      </c>
      <c r="I138" s="169" t="s">
        <v>556</v>
      </c>
      <c r="J138" s="169" t="s">
        <v>556</v>
      </c>
      <c r="K138" s="248"/>
      <c r="L138" s="161"/>
      <c r="M138" s="161"/>
      <c r="N138" s="161"/>
    </row>
    <row r="139" spans="1:14" s="163" customFormat="1" ht="14.1" customHeight="1" x14ac:dyDescent="0.25">
      <c r="A139">
        <v>1</v>
      </c>
      <c r="B139" s="542" t="str">
        <f>IF('FEUILLE SAISIE'!B195="","",'FEUILLE SAISIE'!B195)</f>
        <v/>
      </c>
      <c r="C139" s="543"/>
      <c r="D139" s="171">
        <f>'FEUILLE SAISIE'!F195</f>
        <v>0</v>
      </c>
      <c r="E139" s="187" t="str">
        <f>IF($B139="","",VLOOKUP($B139,listes!$I$86:$L$137,2,FALSE))</f>
        <v/>
      </c>
      <c r="F139" s="187" t="str">
        <f>IF($B139="","",VLOOKUP($B139,listes!$I$86:$L$137,3,FALSE))</f>
        <v/>
      </c>
      <c r="G139" s="187" t="str">
        <f>IF($B139="","",VLOOKUP($B139,listes!$I$86:$L$137,4,FALSE))</f>
        <v/>
      </c>
      <c r="H139" s="173" t="str">
        <f t="shared" ref="H139:J143" si="19">IF($B139="","",$D139*E139)</f>
        <v/>
      </c>
      <c r="I139" s="173" t="str">
        <f t="shared" si="19"/>
        <v/>
      </c>
      <c r="J139" s="173" t="str">
        <f t="shared" si="19"/>
        <v/>
      </c>
      <c r="K139" s="249">
        <v>0</v>
      </c>
      <c r="L139" s="174"/>
      <c r="M139" s="174"/>
      <c r="N139" s="174"/>
    </row>
    <row r="140" spans="1:14" s="163" customFormat="1" x14ac:dyDescent="0.25">
      <c r="A140">
        <v>2</v>
      </c>
      <c r="B140" s="542" t="str">
        <f>IF('FEUILLE SAISIE'!B196="","",'FEUILLE SAISIE'!B196)</f>
        <v/>
      </c>
      <c r="C140" s="543"/>
      <c r="D140" s="171">
        <f>'FEUILLE SAISIE'!F196</f>
        <v>0</v>
      </c>
      <c r="E140" s="187" t="str">
        <f>IF($B140="","",VLOOKUP($B140,listes!$I$86:$L$137,2,FALSE))</f>
        <v/>
      </c>
      <c r="F140" s="187" t="str">
        <f>IF($B140="","",VLOOKUP($B140,listes!$I$86:$L$137,3,FALSE))</f>
        <v/>
      </c>
      <c r="G140" s="187" t="str">
        <f>IF($B140="","",VLOOKUP($B140,listes!$I$86:$L$137,4,FALSE))</f>
        <v/>
      </c>
      <c r="H140" s="173" t="str">
        <f t="shared" si="19"/>
        <v/>
      </c>
      <c r="I140" s="173" t="str">
        <f t="shared" si="19"/>
        <v/>
      </c>
      <c r="J140" s="173" t="str">
        <f t="shared" si="19"/>
        <v/>
      </c>
      <c r="K140" s="249">
        <v>0</v>
      </c>
      <c r="L140" s="174"/>
      <c r="M140" s="174"/>
      <c r="N140" s="174"/>
    </row>
    <row r="141" spans="1:14" x14ac:dyDescent="0.25">
      <c r="A141">
        <v>3</v>
      </c>
      <c r="B141" s="542" t="str">
        <f>IF('FEUILLE SAISIE'!B197="","",'FEUILLE SAISIE'!B197)</f>
        <v/>
      </c>
      <c r="C141" s="543"/>
      <c r="D141" s="171">
        <f>'FEUILLE SAISIE'!F197</f>
        <v>0</v>
      </c>
      <c r="E141" s="187" t="str">
        <f>IF($B141="","",VLOOKUP($B141,listes!$I$86:$L$137,2,FALSE))</f>
        <v/>
      </c>
      <c r="F141" s="187" t="str">
        <f>IF($B141="","",VLOOKUP($B141,listes!$I$86:$L$137,3,FALSE))</f>
        <v/>
      </c>
      <c r="G141" s="187" t="str">
        <f>IF($B141="","",VLOOKUP($B141,listes!$I$86:$L$137,4,FALSE))</f>
        <v/>
      </c>
      <c r="H141" s="173" t="str">
        <f t="shared" si="19"/>
        <v/>
      </c>
      <c r="I141" s="173" t="str">
        <f t="shared" si="19"/>
        <v/>
      </c>
      <c r="J141" s="173" t="str">
        <f t="shared" si="19"/>
        <v/>
      </c>
    </row>
    <row r="142" spans="1:14" x14ac:dyDescent="0.25">
      <c r="A142">
        <v>4</v>
      </c>
      <c r="B142" s="542" t="str">
        <f>IF('FEUILLE SAISIE'!B198="","",'FEUILLE SAISIE'!B198)</f>
        <v/>
      </c>
      <c r="C142" s="543"/>
      <c r="D142" s="171">
        <f>'FEUILLE SAISIE'!F198</f>
        <v>0</v>
      </c>
      <c r="E142" s="187" t="str">
        <f>IF($B142="","",VLOOKUP($B142,listes!$I$86:$L$137,2,FALSE))</f>
        <v/>
      </c>
      <c r="F142" s="187" t="str">
        <f>IF($B142="","",VLOOKUP($B142,listes!$I$86:$L$137,3,FALSE))</f>
        <v/>
      </c>
      <c r="G142" s="187" t="str">
        <f>IF($B142="","",VLOOKUP($B142,listes!$I$86:$L$137,4,FALSE))</f>
        <v/>
      </c>
      <c r="H142" s="173" t="str">
        <f t="shared" si="19"/>
        <v/>
      </c>
      <c r="I142" s="173" t="str">
        <f t="shared" si="19"/>
        <v/>
      </c>
      <c r="J142" s="173" t="str">
        <f t="shared" si="19"/>
        <v/>
      </c>
    </row>
    <row r="143" spans="1:14" x14ac:dyDescent="0.25">
      <c r="A143">
        <v>5</v>
      </c>
      <c r="B143" s="542" t="str">
        <f>IF('FEUILLE SAISIE'!B199="","",'FEUILLE SAISIE'!B199)</f>
        <v/>
      </c>
      <c r="C143" s="543"/>
      <c r="D143" s="171">
        <f>'FEUILLE SAISIE'!F199</f>
        <v>0</v>
      </c>
      <c r="E143" s="187" t="str">
        <f>IF($B143="","",VLOOKUP($B143,listes!$I$86:$L$137,2,FALSE))</f>
        <v/>
      </c>
      <c r="F143" s="187" t="str">
        <f>IF($B143="","",VLOOKUP($B143,listes!$I$86:$L$137,3,FALSE))</f>
        <v/>
      </c>
      <c r="G143" s="187" t="str">
        <f>IF($B143="","",VLOOKUP($B143,listes!$I$86:$L$137,4,FALSE))</f>
        <v/>
      </c>
      <c r="H143" s="173" t="str">
        <f t="shared" si="19"/>
        <v/>
      </c>
      <c r="I143" s="173" t="str">
        <f t="shared" si="19"/>
        <v/>
      </c>
      <c r="J143" s="173" t="str">
        <f t="shared" si="19"/>
        <v/>
      </c>
    </row>
    <row r="144" spans="1:14" x14ac:dyDescent="0.25">
      <c r="G144" t="s">
        <v>557</v>
      </c>
      <c r="H144" s="29">
        <f>SUM(H139:H142)</f>
        <v>0</v>
      </c>
      <c r="I144" s="29">
        <f t="shared" ref="I144:J144" si="20">SUM(I139:I142)</f>
        <v>0</v>
      </c>
      <c r="J144" s="29">
        <f t="shared" si="20"/>
        <v>0</v>
      </c>
    </row>
    <row r="145" spans="1:13" x14ac:dyDescent="0.25">
      <c r="G145" t="s">
        <v>558</v>
      </c>
      <c r="H145" s="178">
        <v>1</v>
      </c>
      <c r="I145" s="178">
        <v>0.437</v>
      </c>
      <c r="J145" s="178">
        <v>0.83</v>
      </c>
    </row>
    <row r="146" spans="1:13" ht="15.75" thickBot="1" x14ac:dyDescent="0.3">
      <c r="H146" s="179" t="s">
        <v>331</v>
      </c>
      <c r="I146" s="179" t="s">
        <v>332</v>
      </c>
      <c r="J146" s="179" t="s">
        <v>333</v>
      </c>
    </row>
    <row r="147" spans="1:13" ht="14.1" customHeight="1" x14ac:dyDescent="0.25">
      <c r="F147" s="250" t="s">
        <v>609</v>
      </c>
      <c r="G147" s="251"/>
      <c r="H147" s="548">
        <f>H144*H145</f>
        <v>0</v>
      </c>
      <c r="I147" s="548">
        <f t="shared" ref="I147:J147" si="21">I144*I145</f>
        <v>0</v>
      </c>
      <c r="J147" s="535">
        <f t="shared" si="21"/>
        <v>0</v>
      </c>
    </row>
    <row r="148" spans="1:13" ht="15.75" thickBot="1" x14ac:dyDescent="0.3">
      <c r="F148" s="252"/>
      <c r="G148" s="253"/>
      <c r="H148" s="549"/>
      <c r="I148" s="549"/>
      <c r="J148" s="536"/>
    </row>
    <row r="151" spans="1:13" s="163" customFormat="1" ht="12.75" customHeight="1" x14ac:dyDescent="0.2">
      <c r="A151" s="537" t="s">
        <v>610</v>
      </c>
      <c r="B151" s="537"/>
      <c r="C151" s="537"/>
      <c r="D151" s="537"/>
      <c r="E151" s="537"/>
      <c r="F151" s="537"/>
      <c r="G151" s="537"/>
      <c r="H151" s="537"/>
      <c r="I151" s="537"/>
      <c r="J151" s="161"/>
      <c r="K151" s="161"/>
      <c r="L151" s="161"/>
    </row>
    <row r="152" spans="1:13" s="163" customFormat="1" ht="12.75" x14ac:dyDescent="0.2">
      <c r="A152" s="161"/>
      <c r="B152" s="161"/>
      <c r="C152" s="161"/>
      <c r="D152" s="161"/>
      <c r="E152" s="161"/>
      <c r="F152" s="161"/>
      <c r="G152" s="161"/>
      <c r="H152" s="161"/>
      <c r="I152" s="161"/>
      <c r="J152" s="161"/>
      <c r="K152" s="161"/>
      <c r="L152" s="161"/>
    </row>
    <row r="153" spans="1:13" s="163" customFormat="1" x14ac:dyDescent="0.3">
      <c r="A153" s="254"/>
      <c r="B153" s="255"/>
      <c r="C153" s="255"/>
      <c r="D153" s="255"/>
      <c r="E153" s="256"/>
      <c r="F153" s="255"/>
      <c r="G153" s="255"/>
    </row>
    <row r="154" spans="1:13" s="163" customFormat="1" ht="63.75" customHeight="1" x14ac:dyDescent="0.2">
      <c r="B154" s="557" t="s">
        <v>611</v>
      </c>
      <c r="C154" s="69" t="s">
        <v>612</v>
      </c>
      <c r="D154" s="221" t="s">
        <v>329</v>
      </c>
      <c r="E154" s="185" t="s">
        <v>330</v>
      </c>
      <c r="F154" s="178" t="s">
        <v>331</v>
      </c>
      <c r="G154" s="178" t="s">
        <v>332</v>
      </c>
      <c r="H154" s="178" t="s">
        <v>333</v>
      </c>
      <c r="I154" s="185" t="s">
        <v>331</v>
      </c>
      <c r="J154" s="185" t="s">
        <v>332</v>
      </c>
      <c r="K154" s="185" t="s">
        <v>333</v>
      </c>
      <c r="L154" s="246" t="s">
        <v>553</v>
      </c>
    </row>
    <row r="155" spans="1:13" s="163" customFormat="1" ht="12.75" x14ac:dyDescent="0.2">
      <c r="B155" s="557"/>
      <c r="C155" s="197" t="s">
        <v>334</v>
      </c>
      <c r="D155" s="203" t="s">
        <v>335</v>
      </c>
      <c r="E155" s="197" t="s">
        <v>336</v>
      </c>
      <c r="F155" s="197" t="s">
        <v>337</v>
      </c>
      <c r="G155" s="197" t="s">
        <v>337</v>
      </c>
      <c r="H155" s="197" t="s">
        <v>337</v>
      </c>
      <c r="I155" s="169" t="s">
        <v>556</v>
      </c>
      <c r="J155" s="169" t="s">
        <v>556</v>
      </c>
      <c r="K155" s="169" t="s">
        <v>556</v>
      </c>
      <c r="L155" s="248"/>
    </row>
    <row r="156" spans="1:13" s="163" customFormat="1" x14ac:dyDescent="0.25">
      <c r="A156">
        <v>1</v>
      </c>
      <c r="B156" s="222" t="str">
        <f>IF('FEUILLE SAISIE'!B259="","",'FEUILLE SAISIE'!B259)</f>
        <v>Blé (grain)</v>
      </c>
      <c r="C156" s="257">
        <f>'FEUILLE SAISIE'!D259</f>
        <v>0</v>
      </c>
      <c r="D156" s="224">
        <f>IF($B156="","",VLOOKUP($B156,listes!$I$140:$M$161,2,FALSE))</f>
        <v>85</v>
      </c>
      <c r="E156" s="258">
        <f>IF($B156="","",C156*D156/100)</f>
        <v>0</v>
      </c>
      <c r="F156" s="225">
        <f>IF($B156="","",VLOOKUP($B156,listes!$I$140:$M$161,3,FALSE))</f>
        <v>20</v>
      </c>
      <c r="G156" s="225">
        <f>IF($B156="","",VLOOKUP($B156,listes!$I$140:$M$161,4,FALSE))</f>
        <v>3.7999999523162842</v>
      </c>
      <c r="H156" s="225">
        <f>IF($B156="","",VLOOKUP($B156,listes!$I$140:$M$161,5,FALSE))</f>
        <v>4.3000001907348633</v>
      </c>
      <c r="I156" s="258">
        <f>IF($B156="","",$E156*F156)</f>
        <v>0</v>
      </c>
      <c r="J156" s="258">
        <f t="shared" ref="J156:K156" si="22">IF($B156="","",$E156*G156)</f>
        <v>0</v>
      </c>
      <c r="K156" s="258">
        <f t="shared" si="22"/>
        <v>0</v>
      </c>
      <c r="L156" s="249">
        <v>0</v>
      </c>
      <c r="M156" s="174"/>
    </row>
    <row r="157" spans="1:13" s="163" customFormat="1" x14ac:dyDescent="0.25">
      <c r="A157">
        <v>2</v>
      </c>
      <c r="B157" s="222" t="str">
        <f>IF('FEUILLE SAISIE'!B260="","",'FEUILLE SAISIE'!B260)</f>
        <v/>
      </c>
      <c r="C157" s="257">
        <f>'FEUILLE SAISIE'!D260</f>
        <v>0</v>
      </c>
      <c r="D157" s="224" t="str">
        <f>IF($B157="","",VLOOKUP($B157,listes!$I$140:$M$161,2,FALSE))</f>
        <v/>
      </c>
      <c r="E157" s="258" t="str">
        <f t="shared" ref="E157:E160" si="23">IF($B157="","",C157*D157/100)</f>
        <v/>
      </c>
      <c r="F157" s="225" t="str">
        <f>IF($B157="","",VLOOKUP($B157,listes!$I$140:$M$161,3,FALSE))</f>
        <v/>
      </c>
      <c r="G157" s="225" t="str">
        <f>IF($B157="","",VLOOKUP($B157,listes!$I$140:$M$161,4,FALSE))</f>
        <v/>
      </c>
      <c r="H157" s="225" t="str">
        <f>IF($B157="","",VLOOKUP($B157,listes!$I$140:$M$161,5,FALSE))</f>
        <v/>
      </c>
      <c r="I157" s="258" t="str">
        <f t="shared" ref="I157:I160" si="24">IF($B157="","",$E157*F157)</f>
        <v/>
      </c>
      <c r="J157" s="258" t="str">
        <f t="shared" ref="J157:J160" si="25">IF($B157="","",$E157*G157)</f>
        <v/>
      </c>
      <c r="K157" s="258" t="str">
        <f t="shared" ref="K157:K160" si="26">IF($B157="","",$E157*H157)</f>
        <v/>
      </c>
      <c r="L157" s="249">
        <v>0</v>
      </c>
      <c r="M157" s="174"/>
    </row>
    <row r="158" spans="1:13" s="163" customFormat="1" x14ac:dyDescent="0.25">
      <c r="A158">
        <v>3</v>
      </c>
      <c r="B158" s="222" t="str">
        <f>IF('FEUILLE SAISIE'!B261="","",'FEUILLE SAISIE'!B261)</f>
        <v/>
      </c>
      <c r="C158" s="257">
        <f>'FEUILLE SAISIE'!D261</f>
        <v>0</v>
      </c>
      <c r="D158" s="224" t="str">
        <f>IF($B158="","",VLOOKUP($B158,listes!$I$140:$M$161,2,FALSE))</f>
        <v/>
      </c>
      <c r="E158" s="258" t="str">
        <f t="shared" si="23"/>
        <v/>
      </c>
      <c r="F158" s="225" t="str">
        <f>IF($B158="","",VLOOKUP($B158,listes!$I$140:$M$161,3,FALSE))</f>
        <v/>
      </c>
      <c r="G158" s="225" t="str">
        <f>IF($B158="","",VLOOKUP($B158,listes!$I$140:$M$161,4,FALSE))</f>
        <v/>
      </c>
      <c r="H158" s="225" t="str">
        <f>IF($B158="","",VLOOKUP($B158,listes!$I$140:$M$161,5,FALSE))</f>
        <v/>
      </c>
      <c r="I158" s="258" t="str">
        <f t="shared" si="24"/>
        <v/>
      </c>
      <c r="J158" s="258" t="str">
        <f t="shared" si="25"/>
        <v/>
      </c>
      <c r="K158" s="258" t="str">
        <f t="shared" si="26"/>
        <v/>
      </c>
      <c r="L158" s="249">
        <v>0</v>
      </c>
      <c r="M158" s="174"/>
    </row>
    <row r="159" spans="1:13" s="163" customFormat="1" x14ac:dyDescent="0.25">
      <c r="A159">
        <v>4</v>
      </c>
      <c r="B159" s="222" t="str">
        <f>IF('FEUILLE SAISIE'!B262="","",'FEUILLE SAISIE'!B262)</f>
        <v/>
      </c>
      <c r="C159" s="257">
        <f>'FEUILLE SAISIE'!D262</f>
        <v>0</v>
      </c>
      <c r="D159" s="224" t="str">
        <f>IF($B159="","",VLOOKUP($B159,listes!$I$140:$M$161,2,FALSE))</f>
        <v/>
      </c>
      <c r="E159" s="258" t="str">
        <f t="shared" si="23"/>
        <v/>
      </c>
      <c r="F159" s="225" t="str">
        <f>IF($B159="","",VLOOKUP($B159,listes!$I$140:$M$161,3,FALSE))</f>
        <v/>
      </c>
      <c r="G159" s="225" t="str">
        <f>IF($B159="","",VLOOKUP($B159,listes!$I$140:$M$161,4,FALSE))</f>
        <v/>
      </c>
      <c r="H159" s="225" t="str">
        <f>IF($B159="","",VLOOKUP($B159,listes!$I$140:$M$161,5,FALSE))</f>
        <v/>
      </c>
      <c r="I159" s="258" t="str">
        <f t="shared" si="24"/>
        <v/>
      </c>
      <c r="J159" s="258" t="str">
        <f t="shared" si="25"/>
        <v/>
      </c>
      <c r="K159" s="258" t="str">
        <f t="shared" si="26"/>
        <v/>
      </c>
      <c r="L159" s="248">
        <v>4</v>
      </c>
      <c r="M159" s="174"/>
    </row>
    <row r="160" spans="1:13" ht="15.75" thickBot="1" x14ac:dyDescent="0.3">
      <c r="A160">
        <v>5</v>
      </c>
      <c r="B160" s="222" t="str">
        <f>IF('FEUILLE SAISIE'!B263="","",'FEUILLE SAISIE'!B263)</f>
        <v/>
      </c>
      <c r="C160" s="257">
        <f>'FEUILLE SAISIE'!D263</f>
        <v>0</v>
      </c>
      <c r="D160" s="224" t="str">
        <f>IF($B160="","",VLOOKUP($B160,listes!$I$140:$M$161,2,FALSE))</f>
        <v/>
      </c>
      <c r="E160" s="258" t="str">
        <f t="shared" si="23"/>
        <v/>
      </c>
      <c r="F160" s="227" t="str">
        <f>IF($B160="","",VLOOKUP($B160,listes!$I$140:$M$161,3,FALSE))</f>
        <v/>
      </c>
      <c r="G160" s="227" t="str">
        <f>IF($B160="","",VLOOKUP($B160,listes!$I$140:$M$161,4,FALSE))</f>
        <v/>
      </c>
      <c r="H160" s="227" t="str">
        <f>IF($B160="","",VLOOKUP($B160,listes!$I$140:$M$161,5,FALSE))</f>
        <v/>
      </c>
      <c r="I160" s="259" t="str">
        <f t="shared" si="24"/>
        <v/>
      </c>
      <c r="J160" s="259" t="str">
        <f t="shared" si="25"/>
        <v/>
      </c>
      <c r="K160" s="259" t="str">
        <f t="shared" si="26"/>
        <v/>
      </c>
    </row>
    <row r="161" spans="1:12" ht="19.899999999999999" customHeight="1" thickBot="1" x14ac:dyDescent="0.3">
      <c r="F161" s="243"/>
      <c r="G161" s="230"/>
      <c r="H161" s="24" t="s">
        <v>615</v>
      </c>
      <c r="I161" s="231">
        <f>SUM(I156:I159)</f>
        <v>0</v>
      </c>
      <c r="J161" s="231">
        <f t="shared" ref="J161:K161" si="27">SUM(J156:J159)</f>
        <v>0</v>
      </c>
      <c r="K161" s="232">
        <f t="shared" si="27"/>
        <v>0</v>
      </c>
    </row>
    <row r="164" spans="1:12" s="163" customFormat="1" ht="12.75" customHeight="1" x14ac:dyDescent="0.2">
      <c r="A164" s="537" t="s">
        <v>616</v>
      </c>
      <c r="B164" s="537"/>
      <c r="C164" s="537"/>
      <c r="D164" s="537"/>
      <c r="E164" s="537"/>
      <c r="F164" s="537"/>
      <c r="G164" s="537"/>
      <c r="H164" s="537"/>
      <c r="I164" s="537"/>
      <c r="J164" s="161"/>
      <c r="K164" s="161"/>
      <c r="L164" s="161"/>
    </row>
    <row r="165" spans="1:12" s="163" customFormat="1" ht="12.75" x14ac:dyDescent="0.2">
      <c r="A165" s="164"/>
      <c r="B165" s="161"/>
      <c r="C165" s="161"/>
      <c r="D165" s="161"/>
      <c r="E165" s="161"/>
      <c r="F165" s="161"/>
      <c r="G165" s="161"/>
      <c r="H165" s="161"/>
      <c r="I165" s="161"/>
      <c r="J165" s="161"/>
      <c r="K165" s="161"/>
      <c r="L165" s="161"/>
    </row>
    <row r="166" spans="1:12" s="163" customFormat="1" ht="12.75" x14ac:dyDescent="0.2">
      <c r="A166" s="161"/>
      <c r="B166" s="161"/>
      <c r="C166" s="161"/>
      <c r="D166" s="161"/>
      <c r="E166" s="161"/>
      <c r="F166" s="161"/>
      <c r="G166" s="161"/>
      <c r="H166" s="161"/>
      <c r="I166" s="161"/>
      <c r="J166" s="161"/>
      <c r="K166" s="161"/>
    </row>
    <row r="167" spans="1:12" s="163" customFormat="1" ht="25.5" x14ac:dyDescent="0.2">
      <c r="B167" s="463" t="s">
        <v>527</v>
      </c>
      <c r="C167" s="69" t="s">
        <v>528</v>
      </c>
      <c r="D167" s="70" t="s">
        <v>529</v>
      </c>
      <c r="E167" s="206" t="s">
        <v>331</v>
      </c>
      <c r="F167" s="178" t="s">
        <v>332</v>
      </c>
      <c r="G167" s="178" t="s">
        <v>333</v>
      </c>
      <c r="H167" s="206" t="s">
        <v>331</v>
      </c>
      <c r="I167" s="206" t="s">
        <v>332</v>
      </c>
      <c r="J167" s="206" t="s">
        <v>333</v>
      </c>
      <c r="K167" s="161"/>
      <c r="L167" s="161"/>
    </row>
    <row r="168" spans="1:12" s="163" customFormat="1" ht="12.75" x14ac:dyDescent="0.2">
      <c r="B168" s="463"/>
      <c r="C168" s="71" t="s">
        <v>530</v>
      </c>
      <c r="D168" s="71" t="s">
        <v>531</v>
      </c>
      <c r="E168" s="203" t="s">
        <v>614</v>
      </c>
      <c r="F168" s="203" t="s">
        <v>614</v>
      </c>
      <c r="G168" s="203" t="s">
        <v>614</v>
      </c>
      <c r="H168" s="203" t="s">
        <v>338</v>
      </c>
      <c r="I168" s="203" t="s">
        <v>339</v>
      </c>
      <c r="J168" s="203" t="s">
        <v>340</v>
      </c>
      <c r="K168" s="161"/>
      <c r="L168" s="161"/>
    </row>
    <row r="169" spans="1:12" s="163" customFormat="1" ht="12.75" x14ac:dyDescent="0.2">
      <c r="B169" s="260" t="s">
        <v>532</v>
      </c>
      <c r="C169" s="261">
        <f>'FEUILLE SAISIE'!C249</f>
        <v>0</v>
      </c>
      <c r="D169" s="257">
        <f>'FEUILLE SAISIE'!D249</f>
        <v>0</v>
      </c>
      <c r="E169" s="262">
        <f>D169/6.06</f>
        <v>0</v>
      </c>
      <c r="F169" s="263">
        <v>0.92</v>
      </c>
      <c r="G169" s="178">
        <v>1.5</v>
      </c>
      <c r="H169" s="173">
        <f t="shared" ref="H169:J172" si="28">E169*$C169/1000</f>
        <v>0</v>
      </c>
      <c r="I169" s="173">
        <f t="shared" si="28"/>
        <v>0</v>
      </c>
      <c r="J169" s="173">
        <f t="shared" si="28"/>
        <v>0</v>
      </c>
      <c r="K169" s="161"/>
      <c r="L169" s="161"/>
    </row>
    <row r="170" spans="1:12" s="163" customFormat="1" ht="12.75" x14ac:dyDescent="0.2">
      <c r="B170" s="260" t="s">
        <v>505</v>
      </c>
      <c r="C170" s="261">
        <f>'FEUILLE SAISIE'!C250</f>
        <v>0</v>
      </c>
      <c r="D170" s="257">
        <f>'FEUILLE SAISIE'!D250</f>
        <v>0</v>
      </c>
      <c r="E170" s="262">
        <f>D170/6.06</f>
        <v>0</v>
      </c>
      <c r="F170" s="263">
        <v>1.5</v>
      </c>
      <c r="G170" s="178">
        <v>1.4</v>
      </c>
      <c r="H170" s="173">
        <f t="shared" si="28"/>
        <v>0</v>
      </c>
      <c r="I170" s="173">
        <f t="shared" si="28"/>
        <v>0</v>
      </c>
      <c r="J170" s="173">
        <f t="shared" si="28"/>
        <v>0</v>
      </c>
      <c r="K170" s="161"/>
      <c r="L170" s="161"/>
    </row>
    <row r="171" spans="1:12" s="163" customFormat="1" ht="12.75" x14ac:dyDescent="0.2">
      <c r="B171" s="260" t="s">
        <v>518</v>
      </c>
      <c r="C171" s="261">
        <f>'FEUILLE SAISIE'!C251</f>
        <v>0</v>
      </c>
      <c r="D171" s="257">
        <f>'FEUILLE SAISIE'!D251</f>
        <v>0</v>
      </c>
      <c r="E171" s="262">
        <f>D171/5.74</f>
        <v>0</v>
      </c>
      <c r="F171" s="178">
        <v>0.97</v>
      </c>
      <c r="G171" s="178">
        <v>1.9</v>
      </c>
      <c r="H171" s="173">
        <f t="shared" si="28"/>
        <v>0</v>
      </c>
      <c r="I171" s="173">
        <f t="shared" si="28"/>
        <v>0</v>
      </c>
      <c r="J171" s="173">
        <f t="shared" si="28"/>
        <v>0</v>
      </c>
      <c r="K171" s="161"/>
      <c r="L171" s="161"/>
    </row>
    <row r="172" spans="1:12" s="163" customFormat="1" ht="13.5" thickBot="1" x14ac:dyDescent="0.25">
      <c r="B172" s="260" t="s">
        <v>512</v>
      </c>
      <c r="C172" s="261">
        <f>'FEUILLE SAISIE'!C252</f>
        <v>0</v>
      </c>
      <c r="D172" s="257">
        <f>'FEUILLE SAISIE'!D252</f>
        <v>0</v>
      </c>
      <c r="E172" s="264">
        <f>D172/5.74</f>
        <v>0</v>
      </c>
      <c r="F172" s="265"/>
      <c r="G172" s="265"/>
      <c r="H172" s="266">
        <f t="shared" si="28"/>
        <v>0</v>
      </c>
      <c r="I172" s="266">
        <f t="shared" si="28"/>
        <v>0</v>
      </c>
      <c r="J172" s="266">
        <f t="shared" si="28"/>
        <v>0</v>
      </c>
      <c r="K172" s="161"/>
      <c r="L172" s="161"/>
    </row>
    <row r="173" spans="1:12" ht="15.75" thickBot="1" x14ac:dyDescent="0.3">
      <c r="E173" s="243"/>
      <c r="F173" s="244"/>
      <c r="G173" s="24" t="s">
        <v>613</v>
      </c>
      <c r="H173" s="231">
        <f>SUM(H169:H171)</f>
        <v>0</v>
      </c>
      <c r="I173" s="231">
        <f t="shared" ref="I173:J173" si="29">SUM(I169:I171)</f>
        <v>0</v>
      </c>
      <c r="J173" s="232">
        <f t="shared" si="29"/>
        <v>0</v>
      </c>
    </row>
    <row r="176" spans="1:12" s="163" customFormat="1" ht="12.75" customHeight="1" x14ac:dyDescent="0.2">
      <c r="A176" s="537" t="s">
        <v>617</v>
      </c>
      <c r="B176" s="537"/>
      <c r="C176" s="537"/>
      <c r="D176" s="537"/>
      <c r="E176" s="537"/>
      <c r="F176" s="537"/>
      <c r="G176" s="537"/>
      <c r="H176" s="537"/>
      <c r="I176" s="537"/>
      <c r="J176" s="161"/>
      <c r="K176" s="161"/>
      <c r="L176" s="161"/>
    </row>
    <row r="177" spans="1:12" s="163" customFormat="1" ht="20.25" x14ac:dyDescent="0.2">
      <c r="A177" s="162"/>
      <c r="B177" s="233"/>
      <c r="C177" s="233"/>
      <c r="D177" s="233"/>
      <c r="E177" s="233"/>
      <c r="F177" s="233"/>
      <c r="G177" s="233"/>
      <c r="H177" s="233"/>
      <c r="I177" s="161"/>
      <c r="J177" s="161"/>
      <c r="K177" s="161"/>
      <c r="L177" s="161"/>
    </row>
    <row r="178" spans="1:12" s="163" customFormat="1" ht="12.75" x14ac:dyDescent="0.2">
      <c r="A178" s="161"/>
      <c r="B178" s="161"/>
      <c r="C178" s="161"/>
      <c r="D178" s="161"/>
      <c r="E178" s="161"/>
      <c r="F178" s="161"/>
      <c r="G178" s="161"/>
      <c r="H178" s="161"/>
      <c r="I178" s="161"/>
      <c r="J178" s="161"/>
      <c r="K178" s="161"/>
    </row>
    <row r="179" spans="1:12" s="163" customFormat="1" ht="38.25" customHeight="1" x14ac:dyDescent="0.2">
      <c r="B179" s="554" t="s">
        <v>618</v>
      </c>
      <c r="C179" s="234" t="s">
        <v>619</v>
      </c>
      <c r="D179" s="235" t="s">
        <v>500</v>
      </c>
      <c r="E179" s="178" t="s">
        <v>331</v>
      </c>
      <c r="F179" s="178" t="s">
        <v>332</v>
      </c>
      <c r="G179" s="178" t="s">
        <v>333</v>
      </c>
      <c r="H179" s="206" t="s">
        <v>331</v>
      </c>
      <c r="I179" s="206" t="s">
        <v>332</v>
      </c>
      <c r="J179" s="206" t="s">
        <v>333</v>
      </c>
      <c r="K179" s="161"/>
      <c r="L179" s="161"/>
    </row>
    <row r="180" spans="1:12" s="163" customFormat="1" ht="12.75" x14ac:dyDescent="0.2">
      <c r="B180" s="554"/>
      <c r="C180" s="236" t="s">
        <v>620</v>
      </c>
      <c r="D180" s="66" t="s">
        <v>502</v>
      </c>
      <c r="E180" s="66" t="s">
        <v>600</v>
      </c>
      <c r="F180" s="66" t="s">
        <v>601</v>
      </c>
      <c r="G180" s="66" t="s">
        <v>602</v>
      </c>
      <c r="H180" s="203" t="s">
        <v>338</v>
      </c>
      <c r="I180" s="203" t="s">
        <v>339</v>
      </c>
      <c r="J180" s="203" t="s">
        <v>340</v>
      </c>
      <c r="K180" s="161"/>
      <c r="L180" s="161"/>
    </row>
    <row r="181" spans="1:12" s="163" customFormat="1" ht="12.75" x14ac:dyDescent="0.2">
      <c r="A181" s="193"/>
      <c r="B181" s="237" t="s">
        <v>503</v>
      </c>
      <c r="C181" s="182">
        <f>'FEUILLE SAISIE'!F228</f>
        <v>0</v>
      </c>
      <c r="D181" s="238">
        <v>15</v>
      </c>
      <c r="E181" s="267">
        <v>28.5</v>
      </c>
      <c r="F181" s="267">
        <v>6.0999999046325684</v>
      </c>
      <c r="G181" s="267">
        <v>1.7999999523162842</v>
      </c>
      <c r="H181" s="240">
        <f>($C181*$D181)/1000*E181</f>
        <v>0</v>
      </c>
      <c r="I181" s="240">
        <f t="shared" ref="I181:I197" si="30">($C181*$D181)/1000*F181</f>
        <v>0</v>
      </c>
      <c r="J181" s="240">
        <f t="shared" ref="J181:J197" si="31">($C181*$D181)/1000*G181</f>
        <v>0</v>
      </c>
      <c r="K181" s="161"/>
      <c r="L181" s="161"/>
    </row>
    <row r="182" spans="1:12" s="163" customFormat="1" ht="12.75" x14ac:dyDescent="0.2">
      <c r="A182" s="174"/>
      <c r="B182" s="241" t="s">
        <v>504</v>
      </c>
      <c r="C182" s="182">
        <f>'FEUILLE SAISIE'!F229</f>
        <v>0</v>
      </c>
      <c r="D182" s="238">
        <v>40</v>
      </c>
      <c r="E182" s="267">
        <v>24</v>
      </c>
      <c r="F182" s="267">
        <v>6</v>
      </c>
      <c r="G182" s="267">
        <v>1.6</v>
      </c>
      <c r="H182" s="240">
        <f t="shared" ref="H182:H197" si="32">($C182*$D182)/1000*E182</f>
        <v>0</v>
      </c>
      <c r="I182" s="240">
        <f t="shared" si="30"/>
        <v>0</v>
      </c>
      <c r="J182" s="240">
        <f t="shared" si="31"/>
        <v>0</v>
      </c>
      <c r="K182" s="174"/>
      <c r="L182" s="174"/>
    </row>
    <row r="183" spans="1:12" s="163" customFormat="1" ht="12.75" x14ac:dyDescent="0.2">
      <c r="A183" s="174"/>
      <c r="B183" s="241" t="s">
        <v>505</v>
      </c>
      <c r="C183" s="182">
        <f>'FEUILLE SAISIE'!F230</f>
        <v>0</v>
      </c>
      <c r="D183" s="238">
        <v>70</v>
      </c>
      <c r="E183" s="267">
        <v>28.5</v>
      </c>
      <c r="F183" s="267">
        <v>6</v>
      </c>
      <c r="G183" s="267">
        <v>1.6</v>
      </c>
      <c r="H183" s="240">
        <f t="shared" si="32"/>
        <v>0</v>
      </c>
      <c r="I183" s="240">
        <f t="shared" si="30"/>
        <v>0</v>
      </c>
      <c r="J183" s="240">
        <f t="shared" si="31"/>
        <v>0</v>
      </c>
      <c r="K183" s="174"/>
      <c r="L183" s="174"/>
    </row>
    <row r="184" spans="1:12" x14ac:dyDescent="0.25">
      <c r="A184" s="174"/>
      <c r="B184" s="241" t="s">
        <v>517</v>
      </c>
      <c r="C184" s="182">
        <f>'FEUILLE SAISIE'!F231</f>
        <v>0</v>
      </c>
      <c r="D184" s="242">
        <v>680</v>
      </c>
      <c r="E184" s="267">
        <v>24</v>
      </c>
      <c r="F184" s="267">
        <v>7</v>
      </c>
      <c r="G184" s="267">
        <v>4.0999999046325684</v>
      </c>
      <c r="H184" s="240">
        <f t="shared" si="32"/>
        <v>0</v>
      </c>
      <c r="I184" s="240">
        <f t="shared" si="30"/>
        <v>0</v>
      </c>
      <c r="J184" s="240">
        <f t="shared" si="31"/>
        <v>0</v>
      </c>
    </row>
    <row r="185" spans="1:12" x14ac:dyDescent="0.25">
      <c r="A185" s="174"/>
      <c r="B185" s="241" t="s">
        <v>506</v>
      </c>
      <c r="C185" s="182">
        <f>'FEUILLE SAISIE'!F232</f>
        <v>0</v>
      </c>
      <c r="D185" s="238">
        <v>380</v>
      </c>
      <c r="E185" s="267">
        <v>24</v>
      </c>
      <c r="F185" s="267">
        <v>7</v>
      </c>
      <c r="G185" s="267">
        <v>4.0999999046325684</v>
      </c>
      <c r="H185" s="240">
        <f t="shared" si="32"/>
        <v>0</v>
      </c>
      <c r="I185" s="240">
        <f t="shared" si="30"/>
        <v>0</v>
      </c>
      <c r="J185" s="240">
        <f t="shared" si="31"/>
        <v>0</v>
      </c>
    </row>
    <row r="186" spans="1:12" x14ac:dyDescent="0.25">
      <c r="A186" s="174"/>
      <c r="B186" s="241" t="s">
        <v>507</v>
      </c>
      <c r="C186" s="182">
        <f>'FEUILLE SAISIE'!F233</f>
        <v>0</v>
      </c>
      <c r="D186" s="238">
        <v>700</v>
      </c>
      <c r="E186" s="267">
        <v>24</v>
      </c>
      <c r="F186" s="267">
        <v>7</v>
      </c>
      <c r="G186" s="267">
        <v>4.0999999046325684</v>
      </c>
      <c r="H186" s="240">
        <f t="shared" si="32"/>
        <v>0</v>
      </c>
      <c r="I186" s="240">
        <f t="shared" si="30"/>
        <v>0</v>
      </c>
      <c r="J186" s="240">
        <f t="shared" si="31"/>
        <v>0</v>
      </c>
    </row>
    <row r="187" spans="1:12" x14ac:dyDescent="0.25">
      <c r="A187" s="174"/>
      <c r="B187" s="241" t="s">
        <v>518</v>
      </c>
      <c r="C187" s="182">
        <f>'FEUILLE SAISIE'!F234</f>
        <v>0</v>
      </c>
      <c r="D187" s="242">
        <v>60</v>
      </c>
      <c r="E187" s="267">
        <v>22</v>
      </c>
      <c r="F187" s="267">
        <v>6.0999999046325684</v>
      </c>
      <c r="G187" s="267">
        <v>1.7999999523162842</v>
      </c>
      <c r="H187" s="240">
        <f t="shared" si="32"/>
        <v>0</v>
      </c>
      <c r="I187" s="240">
        <f t="shared" si="30"/>
        <v>0</v>
      </c>
      <c r="J187" s="240">
        <f t="shared" si="31"/>
        <v>0</v>
      </c>
    </row>
    <row r="188" spans="1:12" x14ac:dyDescent="0.25">
      <c r="A188" s="174"/>
      <c r="B188" s="241" t="s">
        <v>519</v>
      </c>
      <c r="C188" s="182">
        <f>'FEUILLE SAISIE'!F235</f>
        <v>0</v>
      </c>
      <c r="D188" s="242">
        <v>12</v>
      </c>
      <c r="E188" s="267">
        <v>30.5</v>
      </c>
      <c r="F188" s="267">
        <v>6.0999999046325684</v>
      </c>
      <c r="G188" s="267">
        <v>1.7999999523162842</v>
      </c>
      <c r="H188" s="240">
        <f t="shared" si="32"/>
        <v>0</v>
      </c>
      <c r="I188" s="240">
        <f t="shared" si="30"/>
        <v>0</v>
      </c>
      <c r="J188" s="240">
        <f t="shared" si="31"/>
        <v>0</v>
      </c>
    </row>
    <row r="189" spans="1:12" x14ac:dyDescent="0.25">
      <c r="A189" s="174"/>
      <c r="B189" s="241" t="s">
        <v>508</v>
      </c>
      <c r="C189" s="182">
        <f>'FEUILLE SAISIE'!F236</f>
        <v>0</v>
      </c>
      <c r="D189" s="238">
        <v>550</v>
      </c>
      <c r="E189" s="267">
        <v>24</v>
      </c>
      <c r="F189" s="267">
        <v>7</v>
      </c>
      <c r="G189" s="267">
        <v>4.0999999046325684</v>
      </c>
      <c r="H189" s="240">
        <f t="shared" si="32"/>
        <v>0</v>
      </c>
      <c r="I189" s="240">
        <f t="shared" si="30"/>
        <v>0</v>
      </c>
      <c r="J189" s="240">
        <f t="shared" si="31"/>
        <v>0</v>
      </c>
    </row>
    <row r="190" spans="1:12" x14ac:dyDescent="0.25">
      <c r="A190" s="174"/>
      <c r="B190" s="241" t="s">
        <v>520</v>
      </c>
      <c r="C190" s="182">
        <f>'FEUILLE SAISIE'!F237</f>
        <v>0</v>
      </c>
      <c r="D190" s="242">
        <v>640</v>
      </c>
      <c r="E190" s="267">
        <v>24</v>
      </c>
      <c r="F190" s="267">
        <v>7</v>
      </c>
      <c r="G190" s="267">
        <v>4.0999999046325684</v>
      </c>
      <c r="H190" s="240">
        <f t="shared" si="32"/>
        <v>0</v>
      </c>
      <c r="I190" s="240">
        <f t="shared" si="30"/>
        <v>0</v>
      </c>
      <c r="J190" s="240">
        <f t="shared" si="31"/>
        <v>0</v>
      </c>
    </row>
    <row r="191" spans="1:12" x14ac:dyDescent="0.25">
      <c r="A191" s="174"/>
      <c r="B191" s="241" t="s">
        <v>521</v>
      </c>
      <c r="C191" s="182">
        <f>'FEUILLE SAISIE'!F238</f>
        <v>0</v>
      </c>
      <c r="D191" s="242">
        <v>80</v>
      </c>
      <c r="E191" s="267">
        <v>28.5</v>
      </c>
      <c r="F191" s="267">
        <v>6.0999999046325684</v>
      </c>
      <c r="G191" s="267">
        <v>1.7999999523162842</v>
      </c>
      <c r="H191" s="240">
        <f t="shared" si="32"/>
        <v>0</v>
      </c>
      <c r="I191" s="240">
        <f t="shared" si="30"/>
        <v>0</v>
      </c>
      <c r="J191" s="240">
        <f t="shared" si="31"/>
        <v>0</v>
      </c>
    </row>
    <row r="192" spans="1:12" x14ac:dyDescent="0.25">
      <c r="A192" s="174"/>
      <c r="B192" s="241" t="s">
        <v>509</v>
      </c>
      <c r="C192" s="182">
        <f>'FEUILLE SAISIE'!F239</f>
        <v>0</v>
      </c>
      <c r="D192" s="238">
        <v>400</v>
      </c>
      <c r="E192" s="267">
        <v>24</v>
      </c>
      <c r="F192" s="267">
        <v>7</v>
      </c>
      <c r="G192" s="267">
        <v>4.0999999046325684</v>
      </c>
      <c r="H192" s="240">
        <f t="shared" si="32"/>
        <v>0</v>
      </c>
      <c r="I192" s="240">
        <f t="shared" si="30"/>
        <v>0</v>
      </c>
      <c r="J192" s="240">
        <f t="shared" si="31"/>
        <v>0</v>
      </c>
    </row>
    <row r="193" spans="1:12" x14ac:dyDescent="0.25">
      <c r="A193" s="174"/>
      <c r="B193" s="241" t="s">
        <v>522</v>
      </c>
      <c r="C193" s="182">
        <f>'FEUILLE SAISIE'!F240</f>
        <v>0</v>
      </c>
      <c r="D193" s="242">
        <v>660</v>
      </c>
      <c r="E193" s="267">
        <v>24</v>
      </c>
      <c r="F193" s="267">
        <v>7</v>
      </c>
      <c r="G193" s="267">
        <v>4.0999999046325684</v>
      </c>
      <c r="H193" s="240">
        <f t="shared" si="32"/>
        <v>0</v>
      </c>
      <c r="I193" s="240">
        <f t="shared" si="30"/>
        <v>0</v>
      </c>
      <c r="J193" s="240">
        <f t="shared" si="31"/>
        <v>0</v>
      </c>
    </row>
    <row r="194" spans="1:12" x14ac:dyDescent="0.25">
      <c r="A194" s="174"/>
      <c r="B194" s="241" t="s">
        <v>523</v>
      </c>
      <c r="C194" s="182">
        <f>'FEUILLE SAISIE'!F241</f>
        <v>0</v>
      </c>
      <c r="D194" s="242">
        <v>220</v>
      </c>
      <c r="E194" s="267">
        <v>24</v>
      </c>
      <c r="F194" s="267">
        <v>4.4000000953674316</v>
      </c>
      <c r="G194" s="267">
        <v>4.0999999046325684</v>
      </c>
      <c r="H194" s="240">
        <f t="shared" si="32"/>
        <v>0</v>
      </c>
      <c r="I194" s="240">
        <f t="shared" si="30"/>
        <v>0</v>
      </c>
      <c r="J194" s="240">
        <f t="shared" si="31"/>
        <v>0</v>
      </c>
    </row>
    <row r="195" spans="1:12" x14ac:dyDescent="0.25">
      <c r="A195" s="174"/>
      <c r="B195" s="241" t="s">
        <v>510</v>
      </c>
      <c r="C195" s="182">
        <f>'FEUILLE SAISIE'!F242</f>
        <v>0</v>
      </c>
      <c r="D195" s="238">
        <v>660</v>
      </c>
      <c r="E195" s="267">
        <v>24</v>
      </c>
      <c r="F195" s="267">
        <v>7</v>
      </c>
      <c r="G195" s="267">
        <v>4.0999999046325684</v>
      </c>
      <c r="H195" s="240">
        <f t="shared" si="32"/>
        <v>0</v>
      </c>
      <c r="I195" s="240">
        <f t="shared" si="30"/>
        <v>0</v>
      </c>
      <c r="J195" s="240">
        <f t="shared" si="31"/>
        <v>0</v>
      </c>
    </row>
    <row r="196" spans="1:12" x14ac:dyDescent="0.25">
      <c r="A196" s="174"/>
      <c r="B196" s="241" t="s">
        <v>511</v>
      </c>
      <c r="C196" s="182">
        <f>'FEUILLE SAISIE'!F243</f>
        <v>0</v>
      </c>
      <c r="D196" s="238">
        <v>50</v>
      </c>
      <c r="E196" s="267">
        <v>24</v>
      </c>
      <c r="F196" s="267">
        <v>7</v>
      </c>
      <c r="G196" s="267">
        <v>4.0999999046325684</v>
      </c>
      <c r="H196" s="240">
        <f t="shared" si="32"/>
        <v>0</v>
      </c>
      <c r="I196" s="240">
        <f t="shared" si="30"/>
        <v>0</v>
      </c>
      <c r="J196" s="240">
        <f t="shared" si="31"/>
        <v>0</v>
      </c>
    </row>
    <row r="197" spans="1:12" ht="15.75" thickBot="1" x14ac:dyDescent="0.3">
      <c r="A197" s="174"/>
      <c r="B197" s="241" t="s">
        <v>524</v>
      </c>
      <c r="C197" s="182">
        <f>'FEUILLE SAISIE'!F244</f>
        <v>0</v>
      </c>
      <c r="D197" s="242">
        <v>200</v>
      </c>
      <c r="E197" s="267">
        <v>24</v>
      </c>
      <c r="F197" s="267">
        <v>7</v>
      </c>
      <c r="G197" s="267">
        <v>4.0999999046325684</v>
      </c>
      <c r="H197" s="240">
        <f t="shared" si="32"/>
        <v>0</v>
      </c>
      <c r="I197" s="240">
        <f t="shared" si="30"/>
        <v>0</v>
      </c>
      <c r="J197" s="240">
        <f t="shared" si="31"/>
        <v>0</v>
      </c>
    </row>
    <row r="198" spans="1:12" ht="24.2" customHeight="1" thickBot="1" x14ac:dyDescent="0.3">
      <c r="E198" s="243"/>
      <c r="F198" s="244"/>
      <c r="G198" s="24" t="s">
        <v>621</v>
      </c>
      <c r="H198" s="231">
        <f>SUM(H181:H197)</f>
        <v>0</v>
      </c>
      <c r="I198" s="231">
        <f>SUM(I181:I197)</f>
        <v>0</v>
      </c>
      <c r="J198" s="232">
        <f>SUM(J181:J197)</f>
        <v>0</v>
      </c>
    </row>
    <row r="201" spans="1:12" s="163" customFormat="1" ht="19.899999999999999" customHeight="1" x14ac:dyDescent="0.2">
      <c r="A201" s="558" t="s">
        <v>667</v>
      </c>
      <c r="B201" s="558"/>
      <c r="C201" s="558"/>
      <c r="D201" s="558"/>
      <c r="E201" s="558"/>
      <c r="F201" s="558"/>
      <c r="G201" s="558"/>
      <c r="H201" s="558"/>
      <c r="I201" s="558"/>
      <c r="J201" s="161"/>
      <c r="K201" s="161"/>
      <c r="L201" s="161"/>
    </row>
    <row r="202" spans="1:12" s="163" customFormat="1" ht="20.25" x14ac:dyDescent="0.2">
      <c r="A202" s="162"/>
      <c r="B202" s="233"/>
      <c r="C202" s="233"/>
      <c r="D202" s="233"/>
      <c r="E202" s="233"/>
      <c r="F202" s="233"/>
      <c r="G202" s="233"/>
      <c r="H202" s="233"/>
      <c r="I202" s="161"/>
      <c r="J202" s="161"/>
      <c r="K202" s="161"/>
      <c r="L202" s="161"/>
    </row>
    <row r="203" spans="1:12" s="163" customFormat="1" ht="12.75" x14ac:dyDescent="0.2">
      <c r="A203" s="161"/>
      <c r="B203" s="161"/>
      <c r="C203" s="161"/>
      <c r="D203" s="208" t="s">
        <v>331</v>
      </c>
      <c r="E203" s="208" t="s">
        <v>332</v>
      </c>
      <c r="F203" s="208" t="s">
        <v>333</v>
      </c>
      <c r="G203" s="161"/>
      <c r="H203" s="161"/>
      <c r="I203" s="161"/>
      <c r="J203" s="161"/>
      <c r="K203" s="161"/>
      <c r="L203" s="161"/>
    </row>
    <row r="204" spans="1:12" s="163" customFormat="1" ht="20.25" x14ac:dyDescent="0.2">
      <c r="A204" s="268" t="s">
        <v>622</v>
      </c>
      <c r="B204" s="201"/>
      <c r="C204" s="201"/>
      <c r="D204" s="203" t="s">
        <v>338</v>
      </c>
      <c r="E204" s="203" t="s">
        <v>339</v>
      </c>
      <c r="F204" s="203" t="s">
        <v>340</v>
      </c>
      <c r="G204" s="201"/>
      <c r="H204" s="201"/>
      <c r="I204" s="201"/>
      <c r="J204" s="161"/>
      <c r="K204" s="161"/>
      <c r="L204" s="161"/>
    </row>
    <row r="205" spans="1:12" s="163" customFormat="1" ht="15.75" x14ac:dyDescent="0.2">
      <c r="A205" s="269" t="s">
        <v>623</v>
      </c>
      <c r="B205" s="270"/>
      <c r="C205" s="271"/>
      <c r="D205" s="272">
        <f>H34</f>
        <v>0</v>
      </c>
      <c r="E205" s="272">
        <f t="shared" ref="E205:F205" si="33">I34</f>
        <v>0</v>
      </c>
      <c r="F205" s="272">
        <f t="shared" si="33"/>
        <v>0</v>
      </c>
      <c r="G205" s="273"/>
      <c r="H205" s="274"/>
      <c r="I205" s="274"/>
      <c r="J205" s="161"/>
      <c r="K205" s="161"/>
      <c r="L205" s="161"/>
    </row>
    <row r="206" spans="1:12" s="163" customFormat="1" ht="15.75" x14ac:dyDescent="0.2">
      <c r="A206" s="269" t="s">
        <v>624</v>
      </c>
      <c r="B206" s="270"/>
      <c r="C206" s="271"/>
      <c r="D206" s="272">
        <f>H51</f>
        <v>0</v>
      </c>
      <c r="E206" s="272">
        <f t="shared" ref="E206:F206" si="34">I51</f>
        <v>0</v>
      </c>
      <c r="F206" s="272">
        <f t="shared" si="34"/>
        <v>0</v>
      </c>
      <c r="G206" s="273"/>
      <c r="H206" s="274"/>
      <c r="I206" s="275"/>
      <c r="J206" s="161"/>
      <c r="K206" s="161"/>
      <c r="L206" s="161"/>
    </row>
    <row r="207" spans="1:12" s="163" customFormat="1" ht="15.75" x14ac:dyDescent="0.2">
      <c r="A207" s="269" t="s">
        <v>625</v>
      </c>
      <c r="B207" s="270"/>
      <c r="C207" s="271"/>
      <c r="D207" s="272">
        <f>F89</f>
        <v>0</v>
      </c>
      <c r="E207" s="276"/>
      <c r="F207" s="276"/>
      <c r="G207" s="273"/>
      <c r="H207" s="274"/>
      <c r="I207" s="275"/>
      <c r="J207" s="161"/>
      <c r="K207" s="161"/>
      <c r="L207" s="161"/>
    </row>
    <row r="208" spans="1:12" s="163" customFormat="1" ht="15.75" x14ac:dyDescent="0.2">
      <c r="A208" s="269" t="s">
        <v>626</v>
      </c>
      <c r="B208" s="270"/>
      <c r="C208" s="271"/>
      <c r="D208" s="272">
        <f>I106</f>
        <v>0</v>
      </c>
      <c r="E208" s="272">
        <f t="shared" ref="E208:F208" si="35">J106</f>
        <v>0</v>
      </c>
      <c r="F208" s="272">
        <f t="shared" si="35"/>
        <v>0</v>
      </c>
      <c r="G208" s="273"/>
      <c r="H208" s="274"/>
      <c r="I208" s="275"/>
      <c r="J208" s="161"/>
      <c r="K208" s="161"/>
      <c r="L208" s="161"/>
    </row>
    <row r="209" spans="1:12" s="163" customFormat="1" ht="15.75" x14ac:dyDescent="0.2">
      <c r="A209" s="269" t="s">
        <v>627</v>
      </c>
      <c r="B209" s="270"/>
      <c r="C209" s="271"/>
      <c r="D209" s="272">
        <f>H130</f>
        <v>0</v>
      </c>
      <c r="E209" s="272">
        <f t="shared" ref="E209:F209" si="36">I130</f>
        <v>0</v>
      </c>
      <c r="F209" s="272">
        <f t="shared" si="36"/>
        <v>0</v>
      </c>
      <c r="G209" s="273"/>
      <c r="H209" s="274"/>
      <c r="I209" s="275"/>
      <c r="J209" s="161"/>
      <c r="K209" s="161"/>
      <c r="L209" s="161"/>
    </row>
    <row r="210" spans="1:12" s="163" customFormat="1" ht="31.5" x14ac:dyDescent="0.2">
      <c r="A210" s="277"/>
      <c r="B210" s="274"/>
      <c r="C210" s="278" t="s">
        <v>628</v>
      </c>
      <c r="D210" s="279">
        <f>SUM(D205:D209)</f>
        <v>0</v>
      </c>
      <c r="E210" s="279">
        <f>SUM(E205:E209)</f>
        <v>0</v>
      </c>
      <c r="F210" s="279">
        <f>SUM(F205:F209)</f>
        <v>0</v>
      </c>
      <c r="G210" s="273"/>
      <c r="H210" s="274"/>
      <c r="I210" s="275"/>
      <c r="J210" s="161"/>
      <c r="K210" s="161"/>
      <c r="L210" s="161"/>
    </row>
    <row r="211" spans="1:12" s="163" customFormat="1" ht="15.75" x14ac:dyDescent="0.2">
      <c r="A211" s="277"/>
      <c r="B211" s="274"/>
      <c r="C211" s="280"/>
      <c r="D211" s="281"/>
      <c r="E211" s="282"/>
      <c r="F211" s="283"/>
      <c r="G211" s="273"/>
      <c r="H211" s="273"/>
      <c r="I211" s="275"/>
      <c r="J211" s="161"/>
      <c r="K211" s="161"/>
      <c r="L211" s="161"/>
    </row>
    <row r="212" spans="1:12" s="163" customFormat="1" ht="20.25" x14ac:dyDescent="0.2">
      <c r="A212" s="162"/>
      <c r="B212" s="233"/>
      <c r="C212" s="233"/>
      <c r="D212" s="284" t="s">
        <v>331</v>
      </c>
      <c r="E212" s="284" t="s">
        <v>332</v>
      </c>
      <c r="F212" s="284" t="s">
        <v>333</v>
      </c>
      <c r="G212" s="273"/>
      <c r="H212" s="233"/>
      <c r="I212" s="161"/>
      <c r="J212" s="161"/>
      <c r="K212" s="161"/>
      <c r="L212" s="161"/>
    </row>
    <row r="213" spans="1:12" s="163" customFormat="1" ht="20.25" x14ac:dyDescent="0.2">
      <c r="A213" s="268" t="s">
        <v>629</v>
      </c>
      <c r="B213" s="233"/>
      <c r="C213" s="233"/>
      <c r="D213" s="203" t="s">
        <v>338</v>
      </c>
      <c r="E213" s="203" t="s">
        <v>339</v>
      </c>
      <c r="F213" s="203" t="s">
        <v>340</v>
      </c>
      <c r="G213" s="273"/>
      <c r="H213" s="233"/>
      <c r="I213" s="161"/>
      <c r="J213" s="161"/>
      <c r="K213" s="161"/>
      <c r="L213" s="161"/>
    </row>
    <row r="214" spans="1:12" s="163" customFormat="1" ht="15.75" x14ac:dyDescent="0.2">
      <c r="A214" s="269" t="s">
        <v>630</v>
      </c>
      <c r="B214" s="285"/>
      <c r="C214" s="286"/>
      <c r="D214" s="287">
        <f>H147</f>
        <v>0</v>
      </c>
      <c r="E214" s="287">
        <f t="shared" ref="E214:F214" si="37">I147</f>
        <v>0</v>
      </c>
      <c r="F214" s="287">
        <f t="shared" si="37"/>
        <v>0</v>
      </c>
      <c r="G214" s="273"/>
      <c r="H214" s="288"/>
      <c r="I214" s="289"/>
      <c r="J214" s="161"/>
      <c r="K214" s="161"/>
      <c r="L214" s="161"/>
    </row>
    <row r="215" spans="1:12" s="163" customFormat="1" ht="15.75" x14ac:dyDescent="0.2">
      <c r="A215" s="269" t="s">
        <v>631</v>
      </c>
      <c r="B215" s="285"/>
      <c r="C215" s="286"/>
      <c r="D215" s="287">
        <f>I161</f>
        <v>0</v>
      </c>
      <c r="E215" s="287">
        <f t="shared" ref="E215:F215" si="38">J161</f>
        <v>0</v>
      </c>
      <c r="F215" s="287">
        <f t="shared" si="38"/>
        <v>0</v>
      </c>
      <c r="G215" s="273"/>
      <c r="H215" s="288"/>
      <c r="I215" s="289"/>
      <c r="J215" s="161"/>
      <c r="K215" s="161"/>
      <c r="L215" s="161"/>
    </row>
    <row r="216" spans="1:12" s="163" customFormat="1" ht="15.75" x14ac:dyDescent="0.2">
      <c r="A216" s="269" t="s">
        <v>632</v>
      </c>
      <c r="B216" s="285"/>
      <c r="C216" s="286"/>
      <c r="D216" s="287">
        <f>H173</f>
        <v>0</v>
      </c>
      <c r="E216" s="287">
        <f t="shared" ref="E216:F216" si="39">I173</f>
        <v>0</v>
      </c>
      <c r="F216" s="287">
        <f t="shared" si="39"/>
        <v>0</v>
      </c>
      <c r="G216" s="273"/>
      <c r="H216" s="288"/>
      <c r="I216" s="289"/>
      <c r="J216" s="161"/>
      <c r="K216" s="161"/>
      <c r="L216" s="161"/>
    </row>
    <row r="217" spans="1:12" s="163" customFormat="1" ht="15.75" x14ac:dyDescent="0.2">
      <c r="A217" s="269" t="s">
        <v>633</v>
      </c>
      <c r="B217" s="285"/>
      <c r="C217" s="286"/>
      <c r="D217" s="287">
        <f>H198</f>
        <v>0</v>
      </c>
      <c r="E217" s="287">
        <f t="shared" ref="E217:F217" si="40">I198</f>
        <v>0</v>
      </c>
      <c r="F217" s="287">
        <f t="shared" si="40"/>
        <v>0</v>
      </c>
      <c r="G217" s="273"/>
      <c r="H217" s="161"/>
      <c r="I217" s="161"/>
      <c r="J217" s="161"/>
      <c r="K217" s="161"/>
      <c r="L217" s="161"/>
    </row>
    <row r="218" spans="1:12" s="163" customFormat="1" ht="31.5" x14ac:dyDescent="0.2">
      <c r="A218" s="161"/>
      <c r="B218" s="161"/>
      <c r="C218" s="278" t="s">
        <v>634</v>
      </c>
      <c r="D218" s="290">
        <f>SUM(D214:D217)</f>
        <v>0</v>
      </c>
      <c r="E218" s="290">
        <f>SUM(E214:E217)</f>
        <v>0</v>
      </c>
      <c r="F218" s="290">
        <f>SUM(F214:F217)</f>
        <v>0</v>
      </c>
      <c r="G218" s="273"/>
      <c r="H218" s="161"/>
      <c r="I218" s="161"/>
      <c r="J218" s="161"/>
      <c r="K218" s="161"/>
      <c r="L218" s="161"/>
    </row>
    <row r="219" spans="1:12" s="163" customFormat="1" ht="15.75" x14ac:dyDescent="0.2">
      <c r="A219" s="291" t="s">
        <v>635</v>
      </c>
      <c r="B219" s="161"/>
      <c r="C219" s="280"/>
      <c r="D219" s="292" t="s">
        <v>331</v>
      </c>
      <c r="E219" s="292" t="s">
        <v>332</v>
      </c>
      <c r="F219" s="292" t="s">
        <v>333</v>
      </c>
      <c r="G219" s="273"/>
      <c r="H219" s="161"/>
      <c r="I219" s="161"/>
      <c r="J219" s="161"/>
      <c r="K219" s="161"/>
      <c r="L219" s="161"/>
    </row>
    <row r="220" spans="1:12" s="163" customFormat="1" ht="15.75" x14ac:dyDescent="0.2">
      <c r="A220" s="293">
        <f>'FEUILLE SAISIE'!C68</f>
        <v>0</v>
      </c>
      <c r="B220" s="161"/>
      <c r="C220" s="161"/>
      <c r="D220" s="203" t="s">
        <v>338</v>
      </c>
      <c r="E220" s="203" t="s">
        <v>339</v>
      </c>
      <c r="F220" s="203" t="s">
        <v>340</v>
      </c>
      <c r="G220" s="273"/>
      <c r="H220" s="161"/>
      <c r="I220" s="161"/>
      <c r="J220" s="161"/>
      <c r="K220" s="161"/>
      <c r="L220" s="161"/>
    </row>
    <row r="221" spans="1:12" s="163" customFormat="1" ht="29.65" customHeight="1" x14ac:dyDescent="0.2">
      <c r="A221" s="161"/>
      <c r="B221" s="559" t="s">
        <v>639</v>
      </c>
      <c r="C221" s="560"/>
      <c r="D221" s="287">
        <f>D210-D218</f>
        <v>0</v>
      </c>
      <c r="E221" s="287">
        <f t="shared" ref="E221:F221" si="41">E210-E218</f>
        <v>0</v>
      </c>
      <c r="F221" s="287">
        <f t="shared" si="41"/>
        <v>0</v>
      </c>
      <c r="G221" s="273"/>
      <c r="H221" s="161"/>
      <c r="I221" s="161"/>
      <c r="J221" s="161"/>
      <c r="K221" s="161"/>
      <c r="L221" s="161"/>
    </row>
    <row r="222" spans="1:12" s="163" customFormat="1" ht="15.75" x14ac:dyDescent="0.2">
      <c r="B222" s="193"/>
      <c r="C222" s="193"/>
      <c r="D222" s="203" t="s">
        <v>636</v>
      </c>
      <c r="E222" s="203" t="s">
        <v>637</v>
      </c>
      <c r="F222" s="203" t="s">
        <v>638</v>
      </c>
      <c r="G222" s="273"/>
      <c r="H222" s="161"/>
      <c r="I222" s="161"/>
      <c r="J222" s="161"/>
      <c r="K222" s="161"/>
      <c r="L222" s="161"/>
    </row>
    <row r="223" spans="1:12" s="163" customFormat="1" ht="31.35" customHeight="1" x14ac:dyDescent="0.25">
      <c r="A223"/>
      <c r="B223" s="559" t="s">
        <v>809</v>
      </c>
      <c r="C223" s="560"/>
      <c r="D223" s="272" t="e">
        <f>D221/$A$220</f>
        <v>#DIV/0!</v>
      </c>
      <c r="E223" s="272" t="e">
        <f t="shared" ref="E223:F223" si="42">E221/$A$220</f>
        <v>#DIV/0!</v>
      </c>
      <c r="F223" s="272" t="e">
        <f t="shared" si="42"/>
        <v>#DIV/0!</v>
      </c>
      <c r="G223" s="273"/>
      <c r="H223" s="161"/>
      <c r="I223" s="161"/>
      <c r="J223" s="161"/>
      <c r="K223" s="161"/>
      <c r="L223" s="161"/>
    </row>
    <row r="224" spans="1:12" s="163" customFormat="1" x14ac:dyDescent="0.25">
      <c r="A224"/>
      <c r="B224" s="294"/>
      <c r="C224" s="294"/>
    </row>
    <row r="225" spans="1:7" ht="15.75" x14ac:dyDescent="0.25">
      <c r="B225" s="193"/>
      <c r="C225" s="280"/>
      <c r="D225" s="292" t="s">
        <v>331</v>
      </c>
      <c r="E225" s="292" t="s">
        <v>332</v>
      </c>
      <c r="F225" s="292" t="s">
        <v>333</v>
      </c>
    </row>
    <row r="226" spans="1:7" x14ac:dyDescent="0.25">
      <c r="B226" s="193"/>
      <c r="C226" s="193"/>
      <c r="D226" s="203" t="s">
        <v>338</v>
      </c>
      <c r="E226" s="203" t="s">
        <v>339</v>
      </c>
      <c r="F226" s="203" t="s">
        <v>340</v>
      </c>
    </row>
    <row r="227" spans="1:7" ht="31.9" customHeight="1" x14ac:dyDescent="0.25">
      <c r="B227" s="559" t="s">
        <v>640</v>
      </c>
      <c r="C227" s="560"/>
      <c r="D227" s="287">
        <f>D210-D205-D218</f>
        <v>0</v>
      </c>
      <c r="E227" s="287">
        <f t="shared" ref="E227:F227" si="43">E210-E205-E218</f>
        <v>0</v>
      </c>
      <c r="F227" s="287">
        <f t="shared" si="43"/>
        <v>0</v>
      </c>
    </row>
    <row r="228" spans="1:7" x14ac:dyDescent="0.25">
      <c r="B228" s="193"/>
      <c r="C228" s="193"/>
      <c r="D228" s="203" t="s">
        <v>636</v>
      </c>
      <c r="E228" s="203" t="s">
        <v>637</v>
      </c>
      <c r="F228" s="203" t="s">
        <v>638</v>
      </c>
    </row>
    <row r="229" spans="1:7" ht="32.1" customHeight="1" x14ac:dyDescent="0.25">
      <c r="B229" s="559" t="s">
        <v>810</v>
      </c>
      <c r="C229" s="560"/>
      <c r="D229" s="272" t="e">
        <f>D227/$A$220</f>
        <v>#DIV/0!</v>
      </c>
      <c r="E229" s="272" t="e">
        <f t="shared" ref="E229:F229" si="44">E227/$A$220</f>
        <v>#DIV/0!</v>
      </c>
      <c r="F229" s="272" t="e">
        <f t="shared" si="44"/>
        <v>#DIV/0!</v>
      </c>
    </row>
    <row r="231" spans="1:7" s="163" customFormat="1" ht="12.75" x14ac:dyDescent="0.2">
      <c r="A231" s="295" t="s">
        <v>669</v>
      </c>
    </row>
    <row r="232" spans="1:7" s="163" customFormat="1" ht="12.75" x14ac:dyDescent="0.2"/>
    <row r="233" spans="1:7" s="163" customFormat="1" ht="12.75" x14ac:dyDescent="0.2">
      <c r="B233" s="561" t="s">
        <v>670</v>
      </c>
      <c r="C233" s="561"/>
      <c r="D233" s="561" t="s">
        <v>671</v>
      </c>
      <c r="E233" s="561"/>
      <c r="F233" s="561" t="s">
        <v>672</v>
      </c>
      <c r="G233" s="561"/>
    </row>
    <row r="234" spans="1:7" s="163" customFormat="1" ht="12.75" x14ac:dyDescent="0.2">
      <c r="B234" s="296" t="s">
        <v>673</v>
      </c>
      <c r="C234" s="297"/>
      <c r="D234" s="182" t="s">
        <v>674</v>
      </c>
      <c r="E234" s="297"/>
      <c r="F234" s="182" t="s">
        <v>675</v>
      </c>
      <c r="G234" s="297"/>
    </row>
    <row r="235" spans="1:7" s="163" customFormat="1" ht="12.75" x14ac:dyDescent="0.2">
      <c r="B235" s="296" t="s">
        <v>676</v>
      </c>
      <c r="C235" s="298"/>
      <c r="D235" s="182" t="s">
        <v>677</v>
      </c>
      <c r="E235" s="299"/>
      <c r="F235" s="182" t="s">
        <v>678</v>
      </c>
      <c r="G235" s="299"/>
    </row>
    <row r="236" spans="1:7" s="163" customFormat="1" ht="12.75" x14ac:dyDescent="0.2">
      <c r="B236" s="296" t="s">
        <v>679</v>
      </c>
      <c r="C236" s="299"/>
      <c r="D236" s="182" t="s">
        <v>680</v>
      </c>
      <c r="E236" s="300"/>
      <c r="F236" s="182" t="s">
        <v>681</v>
      </c>
      <c r="G236" s="300"/>
    </row>
    <row r="237" spans="1:7" s="163" customFormat="1" ht="12.75" x14ac:dyDescent="0.2">
      <c r="B237" s="296" t="s">
        <v>682</v>
      </c>
      <c r="C237" s="301"/>
    </row>
  </sheetData>
  <mergeCells count="63">
    <mergeCell ref="B233:C233"/>
    <mergeCell ref="D233:E233"/>
    <mergeCell ref="F233:G233"/>
    <mergeCell ref="B227:C227"/>
    <mergeCell ref="B229:C229"/>
    <mergeCell ref="A176:I176"/>
    <mergeCell ref="B179:B180"/>
    <mergeCell ref="A201:I201"/>
    <mergeCell ref="B221:C221"/>
    <mergeCell ref="B223:C223"/>
    <mergeCell ref="J147:J148"/>
    <mergeCell ref="A151:I151"/>
    <mergeCell ref="B154:B155"/>
    <mergeCell ref="A164:I164"/>
    <mergeCell ref="B167:B168"/>
    <mergeCell ref="I147:I148"/>
    <mergeCell ref="B140:C140"/>
    <mergeCell ref="B141:C141"/>
    <mergeCell ref="B142:C142"/>
    <mergeCell ref="B143:C143"/>
    <mergeCell ref="H147:H148"/>
    <mergeCell ref="F51:G52"/>
    <mergeCell ref="H51:H52"/>
    <mergeCell ref="B46:C46"/>
    <mergeCell ref="B139:C139"/>
    <mergeCell ref="J51:J52"/>
    <mergeCell ref="A55:I55"/>
    <mergeCell ref="A57:I57"/>
    <mergeCell ref="A68:I68"/>
    <mergeCell ref="A91:I91"/>
    <mergeCell ref="I51:I52"/>
    <mergeCell ref="A108:I108"/>
    <mergeCell ref="B111:B112"/>
    <mergeCell ref="A134:I134"/>
    <mergeCell ref="B137:C137"/>
    <mergeCell ref="B138:C138"/>
    <mergeCell ref="B44:C44"/>
    <mergeCell ref="B43:C43"/>
    <mergeCell ref="B45:C45"/>
    <mergeCell ref="B47:C47"/>
    <mergeCell ref="B41:C41"/>
    <mergeCell ref="B42:C42"/>
    <mergeCell ref="B24:C24"/>
    <mergeCell ref="B25:C25"/>
    <mergeCell ref="B26:C26"/>
    <mergeCell ref="B28:C28"/>
    <mergeCell ref="B29:C29"/>
    <mergeCell ref="C6:E6"/>
    <mergeCell ref="C7:E7"/>
    <mergeCell ref="C8:E8"/>
    <mergeCell ref="J34:J35"/>
    <mergeCell ref="A37:I37"/>
    <mergeCell ref="B18:C18"/>
    <mergeCell ref="B19:C19"/>
    <mergeCell ref="B20:C20"/>
    <mergeCell ref="B21:C21"/>
    <mergeCell ref="B27:C27"/>
    <mergeCell ref="A15:I15"/>
    <mergeCell ref="F34:G35"/>
    <mergeCell ref="H34:H35"/>
    <mergeCell ref="I34:I35"/>
    <mergeCell ref="B22:C22"/>
    <mergeCell ref="B23:C2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D1225-5450-41CB-A304-AFFCBB868EAB}">
  <dimension ref="A6:G62"/>
  <sheetViews>
    <sheetView workbookViewId="0">
      <selection activeCell="C22" sqref="C22"/>
    </sheetView>
  </sheetViews>
  <sheetFormatPr baseColWidth="10" defaultColWidth="11.140625" defaultRowHeight="15" x14ac:dyDescent="0.25"/>
  <cols>
    <col min="1" max="1" width="25.140625" customWidth="1"/>
    <col min="2" max="2" width="12.85546875" customWidth="1"/>
    <col min="3" max="3" width="13.28515625" customWidth="1"/>
    <col min="4" max="4" width="12.28515625" customWidth="1"/>
    <col min="6" max="6" width="18.140625" customWidth="1"/>
    <col min="7" max="7" width="15.7109375" customWidth="1"/>
  </cols>
  <sheetData>
    <row r="6" spans="1:4" ht="15.75" thickBot="1" x14ac:dyDescent="0.3"/>
    <row r="7" spans="1:4" ht="15.75" thickBot="1" x14ac:dyDescent="0.3">
      <c r="A7" s="18" t="s">
        <v>0</v>
      </c>
      <c r="B7" s="466">
        <f>'FEUILLE SAISIE'!B7</f>
        <v>0</v>
      </c>
      <c r="C7" s="467"/>
      <c r="D7" s="468"/>
    </row>
    <row r="8" spans="1:4" ht="15.75" thickBot="1" x14ac:dyDescent="0.3">
      <c r="A8" s="18" t="s">
        <v>73</v>
      </c>
      <c r="B8" s="466">
        <f>'FEUILLE SAISIE'!B8</f>
        <v>0</v>
      </c>
      <c r="C8" s="467"/>
      <c r="D8" s="468"/>
    </row>
    <row r="9" spans="1:4" ht="15.75" thickBot="1" x14ac:dyDescent="0.3">
      <c r="A9" s="18" t="s">
        <v>74</v>
      </c>
      <c r="B9" s="466">
        <f>'FEUILLE SAISIE'!B9</f>
        <v>0</v>
      </c>
      <c r="C9" s="467"/>
      <c r="D9" s="468"/>
    </row>
    <row r="10" spans="1:4" ht="15.75" thickBot="1" x14ac:dyDescent="0.3">
      <c r="A10" s="18" t="s">
        <v>1</v>
      </c>
      <c r="B10" s="121">
        <f>'FEUILLE SAISIE'!B10</f>
        <v>0</v>
      </c>
    </row>
    <row r="12" spans="1:4" ht="15.75" x14ac:dyDescent="0.25">
      <c r="A12" s="41" t="s">
        <v>668</v>
      </c>
    </row>
    <row r="14" spans="1:4" x14ac:dyDescent="0.25">
      <c r="A14" s="1" t="s">
        <v>641</v>
      </c>
    </row>
    <row r="15" spans="1:4" ht="15.75" thickBot="1" x14ac:dyDescent="0.3"/>
    <row r="16" spans="1:4" ht="15.75" thickBot="1" x14ac:dyDescent="0.3">
      <c r="A16" s="483" t="s">
        <v>642</v>
      </c>
      <c r="B16" s="491"/>
      <c r="C16" s="120">
        <f>'FEUILLE SAISIE'!D150+'FEUILLE SAISIE'!E170</f>
        <v>0</v>
      </c>
    </row>
    <row r="17" spans="1:4" ht="15.75" thickBot="1" x14ac:dyDescent="0.3">
      <c r="A17" s="483" t="s">
        <v>643</v>
      </c>
      <c r="B17" s="491"/>
      <c r="C17" s="302">
        <f>'FEUILLE SAISIE'!C249</f>
        <v>0</v>
      </c>
    </row>
    <row r="18" spans="1:4" ht="15.75" thickBot="1" x14ac:dyDescent="0.3">
      <c r="A18" s="483" t="s">
        <v>644</v>
      </c>
      <c r="B18" s="491"/>
      <c r="C18" s="120" t="e">
        <f>(C16*1000000)/C17</f>
        <v>#DIV/0!</v>
      </c>
    </row>
    <row r="19" spans="1:4" ht="15.75" thickBot="1" x14ac:dyDescent="0.3"/>
    <row r="20" spans="1:4" ht="15.75" thickBot="1" x14ac:dyDescent="0.3">
      <c r="A20" s="483" t="s">
        <v>768</v>
      </c>
      <c r="B20" s="491"/>
      <c r="C20" s="120">
        <f>'FEUILLE SAISIE'!D151+'FEUILLE SAISIE'!E171</f>
        <v>0</v>
      </c>
    </row>
    <row r="21" spans="1:4" ht="15.75" thickBot="1" x14ac:dyDescent="0.3">
      <c r="A21" s="483" t="s">
        <v>769</v>
      </c>
      <c r="B21" s="491"/>
      <c r="C21" s="302">
        <f>'FEUILLE SAISIE'!C250</f>
        <v>0</v>
      </c>
    </row>
    <row r="22" spans="1:4" ht="15.75" thickBot="1" x14ac:dyDescent="0.3">
      <c r="A22" s="483" t="s">
        <v>770</v>
      </c>
      <c r="B22" s="491"/>
      <c r="C22" s="120" t="e">
        <f>(C20*1000000)/C21</f>
        <v>#DIV/0!</v>
      </c>
    </row>
    <row r="23" spans="1:4" ht="15.75" thickBot="1" x14ac:dyDescent="0.3"/>
    <row r="24" spans="1:4" ht="15.75" thickBot="1" x14ac:dyDescent="0.3">
      <c r="A24" s="483" t="s">
        <v>771</v>
      </c>
      <c r="B24" s="484"/>
      <c r="C24" s="120">
        <f>'FEUILLE SAISIE'!D152+'FEUILLE SAISIE'!E172</f>
        <v>0</v>
      </c>
    </row>
    <row r="25" spans="1:4" ht="15.75" thickBot="1" x14ac:dyDescent="0.3">
      <c r="A25" s="483" t="s">
        <v>772</v>
      </c>
      <c r="B25" s="484"/>
      <c r="C25" s="302">
        <f>'FEUILLE SAISIE'!C251</f>
        <v>0</v>
      </c>
    </row>
    <row r="26" spans="1:4" ht="15.75" thickBot="1" x14ac:dyDescent="0.3">
      <c r="A26" s="483" t="s">
        <v>773</v>
      </c>
      <c r="B26" s="484"/>
      <c r="C26" s="120" t="e">
        <f>(C24*1000000)/C25</f>
        <v>#DIV/0!</v>
      </c>
    </row>
    <row r="28" spans="1:4" x14ac:dyDescent="0.25">
      <c r="A28" s="1" t="s">
        <v>645</v>
      </c>
    </row>
    <row r="29" spans="1:4" x14ac:dyDescent="0.25">
      <c r="A29" s="1"/>
    </row>
    <row r="30" spans="1:4" ht="15.75" thickBot="1" x14ac:dyDescent="0.3">
      <c r="C30" s="303" t="s">
        <v>646</v>
      </c>
      <c r="D30" s="303" t="s">
        <v>130</v>
      </c>
    </row>
    <row r="31" spans="1:4" ht="15.75" thickBot="1" x14ac:dyDescent="0.3">
      <c r="A31" s="483" t="s">
        <v>658</v>
      </c>
      <c r="B31" s="491"/>
      <c r="C31" s="120">
        <f>'FEUILLE SAISIE'!D149+'FEUILLE SAISIE'!E169</f>
        <v>0</v>
      </c>
      <c r="D31" s="302">
        <f>D47+G62</f>
        <v>0</v>
      </c>
    </row>
    <row r="32" spans="1:4" ht="15.75" thickBot="1" x14ac:dyDescent="0.3">
      <c r="A32" s="483" t="s">
        <v>659</v>
      </c>
      <c r="B32" s="491"/>
      <c r="C32" s="304">
        <f>'FEUILLE SAISIE'!E169</f>
        <v>0</v>
      </c>
      <c r="D32" s="302">
        <f>G62</f>
        <v>0</v>
      </c>
    </row>
    <row r="33" spans="1:4" ht="15.75" thickBot="1" x14ac:dyDescent="0.3">
      <c r="A33" s="483" t="s">
        <v>660</v>
      </c>
      <c r="B33" s="491"/>
      <c r="C33" s="304">
        <f>'FEUILLE SAISIE'!D149</f>
        <v>0</v>
      </c>
      <c r="D33" s="302">
        <f>D47</f>
        <v>0</v>
      </c>
    </row>
    <row r="34" spans="1:4" ht="15.75" thickBot="1" x14ac:dyDescent="0.3">
      <c r="A34" s="483" t="s">
        <v>661</v>
      </c>
      <c r="B34" s="491"/>
      <c r="C34" s="305" t="e">
        <f>C33/C31</f>
        <v>#DIV/0!</v>
      </c>
      <c r="D34" s="305" t="e">
        <f>D33/D31</f>
        <v>#DIV/0!</v>
      </c>
    </row>
    <row r="38" spans="1:4" x14ac:dyDescent="0.25">
      <c r="A38" s="1" t="s">
        <v>647</v>
      </c>
    </row>
    <row r="39" spans="1:4" ht="29.25" thickBot="1" x14ac:dyDescent="0.3">
      <c r="A39" s="49" t="s">
        <v>305</v>
      </c>
      <c r="B39" s="50" t="s">
        <v>306</v>
      </c>
      <c r="C39" s="50" t="s">
        <v>649</v>
      </c>
      <c r="D39" s="50" t="s">
        <v>648</v>
      </c>
    </row>
    <row r="40" spans="1:4" ht="15.75" thickBot="1" x14ac:dyDescent="0.3">
      <c r="A40" s="51" t="s">
        <v>309</v>
      </c>
      <c r="B40" s="306">
        <f>'FEUILLE SAISIE'!B141</f>
        <v>0</v>
      </c>
      <c r="C40" s="307">
        <v>1.02</v>
      </c>
      <c r="D40" s="308">
        <f>B40*100*C40</f>
        <v>0</v>
      </c>
    </row>
    <row r="41" spans="1:4" ht="15.75" thickBot="1" x14ac:dyDescent="0.3">
      <c r="A41" s="51" t="s">
        <v>310</v>
      </c>
      <c r="B41" s="306">
        <f>'FEUILLE SAISIE'!B142</f>
        <v>0</v>
      </c>
      <c r="C41" s="307">
        <v>1.01</v>
      </c>
      <c r="D41" s="308">
        <f t="shared" ref="D41:D46" si="0">B41*100*C41</f>
        <v>0</v>
      </c>
    </row>
    <row r="42" spans="1:4" ht="15.75" thickBot="1" x14ac:dyDescent="0.3">
      <c r="A42" s="51" t="s">
        <v>315</v>
      </c>
      <c r="B42" s="306">
        <f>'FEUILLE SAISIE'!B143</f>
        <v>0</v>
      </c>
      <c r="C42" s="307">
        <v>0.77</v>
      </c>
      <c r="D42" s="308">
        <f t="shared" si="0"/>
        <v>0</v>
      </c>
    </row>
    <row r="43" spans="1:4" ht="15.75" thickBot="1" x14ac:dyDescent="0.3">
      <c r="A43" s="51" t="s">
        <v>316</v>
      </c>
      <c r="B43" s="306">
        <f>'FEUILLE SAISIE'!B144</f>
        <v>0</v>
      </c>
      <c r="C43" s="307">
        <v>0.95</v>
      </c>
      <c r="D43" s="308">
        <f t="shared" si="0"/>
        <v>0</v>
      </c>
    </row>
    <row r="44" spans="1:4" ht="15.75" thickBot="1" x14ac:dyDescent="0.3">
      <c r="A44" s="51" t="s">
        <v>311</v>
      </c>
      <c r="B44" s="306">
        <f>'FEUILLE SAISIE'!B145</f>
        <v>0</v>
      </c>
      <c r="C44" s="307">
        <v>1.04</v>
      </c>
      <c r="D44" s="308">
        <f t="shared" si="0"/>
        <v>0</v>
      </c>
    </row>
    <row r="45" spans="1:4" ht="15.75" thickBot="1" x14ac:dyDescent="0.3">
      <c r="A45" s="51" t="s">
        <v>491</v>
      </c>
      <c r="B45" s="306">
        <f>'FEUILLE SAISIE'!B146</f>
        <v>0</v>
      </c>
      <c r="C45" s="307">
        <v>1.03</v>
      </c>
      <c r="D45" s="308">
        <f t="shared" si="0"/>
        <v>0</v>
      </c>
    </row>
    <row r="46" spans="1:4" ht="15.75" thickBot="1" x14ac:dyDescent="0.3">
      <c r="A46" s="51" t="s">
        <v>313</v>
      </c>
      <c r="B46" s="306">
        <f>'FEUILLE SAISIE'!B147</f>
        <v>0</v>
      </c>
      <c r="C46" s="307">
        <v>1.1000000000000001</v>
      </c>
      <c r="D46" s="309">
        <f t="shared" si="0"/>
        <v>0</v>
      </c>
    </row>
    <row r="47" spans="1:4" ht="15.75" thickBot="1" x14ac:dyDescent="0.3">
      <c r="C47" s="18" t="s">
        <v>650</v>
      </c>
      <c r="D47" s="310">
        <f>SUM(D40:D46)</f>
        <v>0</v>
      </c>
    </row>
    <row r="48" spans="1:4" x14ac:dyDescent="0.25">
      <c r="C48" s="18"/>
      <c r="D48" s="35"/>
    </row>
    <row r="49" spans="1:7" x14ac:dyDescent="0.25">
      <c r="C49" s="18"/>
      <c r="D49" s="35"/>
    </row>
    <row r="50" spans="1:7" x14ac:dyDescent="0.25">
      <c r="A50" s="1" t="s">
        <v>651</v>
      </c>
    </row>
    <row r="51" spans="1:7" ht="72.400000000000006" customHeight="1" thickBot="1" x14ac:dyDescent="0.3">
      <c r="A51" s="530" t="s">
        <v>305</v>
      </c>
      <c r="B51" s="529"/>
      <c r="C51" s="50" t="s">
        <v>317</v>
      </c>
      <c r="D51" s="50" t="s">
        <v>649</v>
      </c>
      <c r="E51" s="50" t="s">
        <v>648</v>
      </c>
      <c r="F51" s="50" t="s">
        <v>655</v>
      </c>
      <c r="G51" s="50" t="s">
        <v>656</v>
      </c>
    </row>
    <row r="52" spans="1:7" ht="15.75" thickBot="1" x14ac:dyDescent="0.3">
      <c r="A52" s="528" t="str">
        <f>IF('FEUILLE SAISIE'!B157="","",'FEUILLE SAISIE'!B157)</f>
        <v/>
      </c>
      <c r="B52" s="529"/>
      <c r="C52" s="306">
        <f>'FEUILLE SAISIE'!D157</f>
        <v>0</v>
      </c>
      <c r="D52" s="307" t="str">
        <f>IF($A52="","",VLOOKUP($A52,listes!$I$5:$O$64,6,FALSE))</f>
        <v/>
      </c>
      <c r="E52" s="308" t="str">
        <f>IF($A52="","",C52*1000*D52)</f>
        <v/>
      </c>
      <c r="F52" s="311" t="str">
        <f>'FEUILLE SAISIE'!E157</f>
        <v/>
      </c>
      <c r="G52" s="157" t="str">
        <f>IF(F52="C",E52,"")</f>
        <v/>
      </c>
    </row>
    <row r="53" spans="1:7" ht="15.75" thickBot="1" x14ac:dyDescent="0.3">
      <c r="A53" s="528" t="str">
        <f>IF('FEUILLE SAISIE'!B158="","",'FEUILLE SAISIE'!B158)</f>
        <v/>
      </c>
      <c r="B53" s="529"/>
      <c r="C53" s="306">
        <f>'FEUILLE SAISIE'!D158</f>
        <v>0</v>
      </c>
      <c r="D53" s="307" t="str">
        <f>IF($A53="","",VLOOKUP($A53,listes!$I$5:$O$64,6,FALSE))</f>
        <v/>
      </c>
      <c r="E53" s="308" t="str">
        <f t="shared" ref="E53:E61" si="1">IF($A53="","",C53*1000*D53)</f>
        <v/>
      </c>
      <c r="F53" s="311" t="str">
        <f>'FEUILLE SAISIE'!E158</f>
        <v/>
      </c>
      <c r="G53" s="157" t="str">
        <f t="shared" ref="G53:G61" si="2">IF(F53="C",E53,"")</f>
        <v/>
      </c>
    </row>
    <row r="54" spans="1:7" ht="15.75" thickBot="1" x14ac:dyDescent="0.3">
      <c r="A54" s="528" t="str">
        <f>IF('FEUILLE SAISIE'!B159="","",'FEUILLE SAISIE'!B159)</f>
        <v/>
      </c>
      <c r="B54" s="529"/>
      <c r="C54" s="306">
        <f>'FEUILLE SAISIE'!D159</f>
        <v>0</v>
      </c>
      <c r="D54" s="307" t="str">
        <f>IF($A54="","",VLOOKUP($A54,listes!$I$5:$O$64,6,FALSE))</f>
        <v/>
      </c>
      <c r="E54" s="308" t="str">
        <f t="shared" si="1"/>
        <v/>
      </c>
      <c r="F54" s="311" t="str">
        <f>'FEUILLE SAISIE'!E159</f>
        <v/>
      </c>
      <c r="G54" s="157" t="str">
        <f t="shared" si="2"/>
        <v/>
      </c>
    </row>
    <row r="55" spans="1:7" ht="15.75" thickBot="1" x14ac:dyDescent="0.3">
      <c r="A55" s="528" t="str">
        <f>IF('FEUILLE SAISIE'!B160="","",'FEUILLE SAISIE'!B160)</f>
        <v/>
      </c>
      <c r="B55" s="529"/>
      <c r="C55" s="306">
        <f>'FEUILLE SAISIE'!D160</f>
        <v>0</v>
      </c>
      <c r="D55" s="307" t="str">
        <f>IF($A55="","",VLOOKUP($A55,listes!$I$5:$O$64,6,FALSE))</f>
        <v/>
      </c>
      <c r="E55" s="308" t="str">
        <f t="shared" si="1"/>
        <v/>
      </c>
      <c r="F55" s="311" t="str">
        <f>'FEUILLE SAISIE'!E160</f>
        <v/>
      </c>
      <c r="G55" s="157" t="str">
        <f t="shared" si="2"/>
        <v/>
      </c>
    </row>
    <row r="56" spans="1:7" ht="15.75" thickBot="1" x14ac:dyDescent="0.3">
      <c r="A56" s="528" t="str">
        <f>IF('FEUILLE SAISIE'!B161="","",'FEUILLE SAISIE'!B161)</f>
        <v/>
      </c>
      <c r="B56" s="529"/>
      <c r="C56" s="306">
        <f>'FEUILLE SAISIE'!D161</f>
        <v>0</v>
      </c>
      <c r="D56" s="307" t="str">
        <f>IF($A56="","",VLOOKUP($A56,listes!$I$5:$O$64,6,FALSE))</f>
        <v/>
      </c>
      <c r="E56" s="308" t="str">
        <f t="shared" si="1"/>
        <v/>
      </c>
      <c r="F56" s="311" t="str">
        <f>'FEUILLE SAISIE'!E161</f>
        <v/>
      </c>
      <c r="G56" s="157" t="str">
        <f t="shared" si="2"/>
        <v/>
      </c>
    </row>
    <row r="57" spans="1:7" ht="15.75" thickBot="1" x14ac:dyDescent="0.3">
      <c r="A57" s="528" t="str">
        <f>IF('FEUILLE SAISIE'!B162="","",'FEUILLE SAISIE'!B162)</f>
        <v/>
      </c>
      <c r="B57" s="529"/>
      <c r="C57" s="306">
        <f>'FEUILLE SAISIE'!D162</f>
        <v>0</v>
      </c>
      <c r="D57" s="307" t="str">
        <f>IF($A57="","",VLOOKUP($A57,listes!$I$5:$O$64,6,FALSE))</f>
        <v/>
      </c>
      <c r="E57" s="308" t="str">
        <f t="shared" si="1"/>
        <v/>
      </c>
      <c r="F57" s="311" t="str">
        <f>'FEUILLE SAISIE'!E162</f>
        <v/>
      </c>
      <c r="G57" s="157" t="str">
        <f t="shared" si="2"/>
        <v/>
      </c>
    </row>
    <row r="58" spans="1:7" ht="15.75" thickBot="1" x14ac:dyDescent="0.3">
      <c r="A58" s="528" t="str">
        <f>IF('FEUILLE SAISIE'!B163="","",'FEUILLE SAISIE'!B163)</f>
        <v/>
      </c>
      <c r="B58" s="529"/>
      <c r="C58" s="306">
        <f>'FEUILLE SAISIE'!D163</f>
        <v>0</v>
      </c>
      <c r="D58" s="307" t="str">
        <f>IF($A58="","",VLOOKUP($A58,listes!$I$5:$O$64,6,FALSE))</f>
        <v/>
      </c>
      <c r="E58" s="308" t="str">
        <f t="shared" si="1"/>
        <v/>
      </c>
      <c r="F58" s="311" t="str">
        <f>'FEUILLE SAISIE'!E163</f>
        <v/>
      </c>
      <c r="G58" s="157" t="str">
        <f t="shared" si="2"/>
        <v/>
      </c>
    </row>
    <row r="59" spans="1:7" ht="15.75" thickBot="1" x14ac:dyDescent="0.3">
      <c r="A59" s="528" t="str">
        <f>IF('FEUILLE SAISIE'!B164="","",'FEUILLE SAISIE'!B164)</f>
        <v/>
      </c>
      <c r="B59" s="529"/>
      <c r="C59" s="306">
        <f>'FEUILLE SAISIE'!D164</f>
        <v>0</v>
      </c>
      <c r="D59" s="307" t="str">
        <f>IF($A59="","",VLOOKUP($A59,listes!$I$5:$O$64,6,FALSE))</f>
        <v/>
      </c>
      <c r="E59" s="308" t="str">
        <f t="shared" si="1"/>
        <v/>
      </c>
      <c r="F59" s="311" t="str">
        <f>'FEUILLE SAISIE'!E164</f>
        <v/>
      </c>
      <c r="G59" s="157" t="str">
        <f t="shared" si="2"/>
        <v/>
      </c>
    </row>
    <row r="60" spans="1:7" ht="15.75" thickBot="1" x14ac:dyDescent="0.3">
      <c r="A60" s="528" t="str">
        <f>IF('FEUILLE SAISIE'!B165="","",'FEUILLE SAISIE'!B165)</f>
        <v/>
      </c>
      <c r="B60" s="529"/>
      <c r="C60" s="306">
        <f>'FEUILLE SAISIE'!D165</f>
        <v>0</v>
      </c>
      <c r="D60" s="307" t="str">
        <f>IF($A60="","",VLOOKUP($A60,listes!$I$5:$O$64,6,FALSE))</f>
        <v/>
      </c>
      <c r="E60" s="308" t="str">
        <f t="shared" si="1"/>
        <v/>
      </c>
      <c r="F60" s="311" t="str">
        <f>'FEUILLE SAISIE'!E165</f>
        <v/>
      </c>
      <c r="G60" s="157" t="str">
        <f t="shared" si="2"/>
        <v/>
      </c>
    </row>
    <row r="61" spans="1:7" ht="15.75" thickBot="1" x14ac:dyDescent="0.3">
      <c r="A61" s="528" t="str">
        <f>IF('FEUILLE SAISIE'!B166="","",'FEUILLE SAISIE'!B166)</f>
        <v/>
      </c>
      <c r="B61" s="529"/>
      <c r="C61" s="306">
        <f>'FEUILLE SAISIE'!D166</f>
        <v>0</v>
      </c>
      <c r="D61" s="307" t="str">
        <f>IF($A61="","",VLOOKUP($A61,listes!$I$5:$O$64,6,FALSE))</f>
        <v/>
      </c>
      <c r="E61" s="308" t="str">
        <f t="shared" si="1"/>
        <v/>
      </c>
      <c r="F61" s="311" t="str">
        <f>'FEUILLE SAISIE'!E166</f>
        <v/>
      </c>
      <c r="G61" s="157" t="str">
        <f t="shared" si="2"/>
        <v/>
      </c>
    </row>
    <row r="62" spans="1:7" ht="15.75" thickBot="1" x14ac:dyDescent="0.3">
      <c r="D62" s="18" t="s">
        <v>657</v>
      </c>
      <c r="E62" s="310">
        <f>SUM(E52:E61)</f>
        <v>0</v>
      </c>
      <c r="G62" s="312">
        <f>SUM(G52:G61)</f>
        <v>0</v>
      </c>
    </row>
  </sheetData>
  <sheetProtection sheet="1" objects="1" scenarios="1"/>
  <mergeCells count="27">
    <mergeCell ref="A16:B16"/>
    <mergeCell ref="A17:B17"/>
    <mergeCell ref="A18:B18"/>
    <mergeCell ref="B7:D7"/>
    <mergeCell ref="B8:D8"/>
    <mergeCell ref="B9:D9"/>
    <mergeCell ref="A56:B56"/>
    <mergeCell ref="A31:B31"/>
    <mergeCell ref="A32:B32"/>
    <mergeCell ref="A34:B34"/>
    <mergeCell ref="A33:B33"/>
    <mergeCell ref="A51:B51"/>
    <mergeCell ref="A52:B52"/>
    <mergeCell ref="A53:B53"/>
    <mergeCell ref="A54:B54"/>
    <mergeCell ref="A55:B55"/>
    <mergeCell ref="A57:B57"/>
    <mergeCell ref="A58:B58"/>
    <mergeCell ref="A59:B59"/>
    <mergeCell ref="A60:B60"/>
    <mergeCell ref="A61:B61"/>
    <mergeCell ref="A24:B24"/>
    <mergeCell ref="A25:B25"/>
    <mergeCell ref="A26:B26"/>
    <mergeCell ref="A20:B20"/>
    <mergeCell ref="A21:B21"/>
    <mergeCell ref="A22:B22"/>
  </mergeCells>
  <dataValidations count="1">
    <dataValidation type="list" allowBlank="1" showInputMessage="1" showErrorMessage="1" sqref="A52:B61" xr:uid="{27F10F93-34CE-4344-AEB6-AC2479F731A7}">
      <formula1>aliments</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C71DD-EC0F-4C07-9441-E24C617427F5}">
  <dimension ref="A3:P161"/>
  <sheetViews>
    <sheetView topLeftCell="I49" workbookViewId="0">
      <selection activeCell="I49" sqref="I49"/>
    </sheetView>
  </sheetViews>
  <sheetFormatPr baseColWidth="10" defaultRowHeight="15" x14ac:dyDescent="0.25"/>
  <cols>
    <col min="9" max="9" width="33.28515625" customWidth="1"/>
  </cols>
  <sheetData>
    <row r="3" spans="1:16" x14ac:dyDescent="0.25">
      <c r="A3" t="s">
        <v>76</v>
      </c>
      <c r="E3" s="6" t="s">
        <v>127</v>
      </c>
      <c r="F3" s="3"/>
      <c r="G3" s="3"/>
    </row>
    <row r="4" spans="1:16" x14ac:dyDescent="0.25">
      <c r="A4">
        <v>5000</v>
      </c>
      <c r="D4" s="18" t="s">
        <v>128</v>
      </c>
      <c r="E4" s="3" t="s">
        <v>129</v>
      </c>
      <c r="F4" s="3" t="s">
        <v>130</v>
      </c>
      <c r="G4" s="3" t="s">
        <v>131</v>
      </c>
      <c r="I4" t="s">
        <v>327</v>
      </c>
      <c r="J4" t="s">
        <v>396</v>
      </c>
      <c r="K4" t="s">
        <v>397</v>
      </c>
      <c r="L4" t="s">
        <v>398</v>
      </c>
      <c r="M4" t="s">
        <v>399</v>
      </c>
      <c r="N4" t="s">
        <v>130</v>
      </c>
      <c r="O4" t="s">
        <v>400</v>
      </c>
      <c r="P4" t="s">
        <v>652</v>
      </c>
    </row>
    <row r="5" spans="1:16" x14ac:dyDescent="0.25">
      <c r="A5">
        <v>6000</v>
      </c>
      <c r="D5" s="18" t="s">
        <v>147</v>
      </c>
      <c r="E5" s="3" t="s">
        <v>133</v>
      </c>
      <c r="F5" s="3">
        <v>0.9</v>
      </c>
      <c r="G5" s="3">
        <v>140</v>
      </c>
      <c r="I5" t="s">
        <v>392</v>
      </c>
      <c r="J5">
        <v>100</v>
      </c>
      <c r="K5" s="11">
        <v>29</v>
      </c>
      <c r="L5" s="11">
        <v>4.4000000953674316</v>
      </c>
      <c r="M5" s="11">
        <v>8</v>
      </c>
      <c r="N5" s="12">
        <v>0.95</v>
      </c>
      <c r="O5" s="13">
        <v>180</v>
      </c>
      <c r="P5" t="s">
        <v>653</v>
      </c>
    </row>
    <row r="6" spans="1:16" x14ac:dyDescent="0.25">
      <c r="A6">
        <v>7000</v>
      </c>
      <c r="D6" s="18" t="s">
        <v>148</v>
      </c>
      <c r="E6" s="3" t="s">
        <v>133</v>
      </c>
      <c r="F6" s="3">
        <v>0.9</v>
      </c>
      <c r="G6" s="3">
        <v>270</v>
      </c>
      <c r="I6" t="s">
        <v>393</v>
      </c>
      <c r="J6">
        <v>100</v>
      </c>
      <c r="K6" s="11">
        <v>35</v>
      </c>
      <c r="L6" s="11">
        <v>4.8000001907348633</v>
      </c>
      <c r="M6" s="11">
        <v>9</v>
      </c>
      <c r="N6" s="12">
        <v>0.95</v>
      </c>
      <c r="O6" s="13">
        <v>220</v>
      </c>
      <c r="P6" t="s">
        <v>653</v>
      </c>
    </row>
    <row r="7" spans="1:16" x14ac:dyDescent="0.25">
      <c r="A7">
        <v>8000</v>
      </c>
      <c r="D7" s="18" t="s">
        <v>149</v>
      </c>
      <c r="E7" s="3" t="s">
        <v>133</v>
      </c>
      <c r="F7" s="3">
        <v>0.9</v>
      </c>
      <c r="G7" s="3">
        <v>400</v>
      </c>
      <c r="I7" t="s">
        <v>394</v>
      </c>
      <c r="J7">
        <v>100</v>
      </c>
      <c r="K7" s="11">
        <v>48</v>
      </c>
      <c r="L7" s="11">
        <v>5.6999998092651367</v>
      </c>
      <c r="M7" s="11">
        <v>12</v>
      </c>
      <c r="N7" s="12">
        <v>0.95</v>
      </c>
      <c r="O7" s="13">
        <v>300</v>
      </c>
      <c r="P7" t="s">
        <v>653</v>
      </c>
    </row>
    <row r="8" spans="1:16" x14ac:dyDescent="0.25">
      <c r="A8">
        <v>9000</v>
      </c>
      <c r="D8" s="18" t="s">
        <v>202</v>
      </c>
      <c r="E8" s="3">
        <v>85</v>
      </c>
      <c r="F8" s="3">
        <v>0.8</v>
      </c>
      <c r="G8" s="3">
        <v>140</v>
      </c>
      <c r="I8" t="s">
        <v>395</v>
      </c>
      <c r="J8">
        <v>100</v>
      </c>
      <c r="K8" s="11">
        <v>64</v>
      </c>
      <c r="L8" s="11">
        <v>6.5</v>
      </c>
      <c r="M8" s="11">
        <v>16</v>
      </c>
      <c r="N8" s="12">
        <v>0.95</v>
      </c>
      <c r="O8" s="13">
        <v>400</v>
      </c>
      <c r="P8" t="s">
        <v>653</v>
      </c>
    </row>
    <row r="9" spans="1:16" x14ac:dyDescent="0.25">
      <c r="D9" s="18" t="s">
        <v>272</v>
      </c>
      <c r="E9" s="3">
        <v>85</v>
      </c>
      <c r="F9" s="3">
        <v>0.8</v>
      </c>
      <c r="G9" s="3">
        <v>140</v>
      </c>
      <c r="I9" t="s">
        <v>341</v>
      </c>
      <c r="J9">
        <v>100</v>
      </c>
      <c r="K9" s="11">
        <v>38.400001525878906</v>
      </c>
      <c r="L9" s="11">
        <v>7</v>
      </c>
      <c r="M9" s="11">
        <v>9</v>
      </c>
      <c r="N9" s="12">
        <v>0.95</v>
      </c>
      <c r="O9" s="13">
        <v>240</v>
      </c>
      <c r="P9" t="s">
        <v>653</v>
      </c>
    </row>
    <row r="10" spans="1:16" x14ac:dyDescent="0.25">
      <c r="A10" t="s">
        <v>80</v>
      </c>
      <c r="D10" s="18" t="s">
        <v>200</v>
      </c>
      <c r="E10" s="3">
        <v>85</v>
      </c>
      <c r="F10" s="3">
        <v>0.8</v>
      </c>
      <c r="G10" s="3">
        <v>160</v>
      </c>
      <c r="I10" t="s">
        <v>342</v>
      </c>
      <c r="J10">
        <v>100</v>
      </c>
      <c r="K10" s="11">
        <v>24.799999237060547</v>
      </c>
      <c r="L10" s="11">
        <v>3</v>
      </c>
      <c r="M10" s="11">
        <v>6</v>
      </c>
      <c r="N10" s="12">
        <v>0.9</v>
      </c>
      <c r="O10" s="13">
        <v>155</v>
      </c>
      <c r="P10" t="s">
        <v>653</v>
      </c>
    </row>
    <row r="11" spans="1:16" x14ac:dyDescent="0.25">
      <c r="A11" t="s">
        <v>81</v>
      </c>
      <c r="D11" s="18" t="s">
        <v>270</v>
      </c>
      <c r="E11" s="3">
        <v>85</v>
      </c>
      <c r="F11" s="3">
        <v>0.8</v>
      </c>
      <c r="G11" s="3">
        <v>160</v>
      </c>
      <c r="I11" t="s">
        <v>343</v>
      </c>
      <c r="J11">
        <v>100</v>
      </c>
      <c r="K11" s="11">
        <v>25.600000381469727</v>
      </c>
      <c r="L11" s="11">
        <v>3.9000000953674316</v>
      </c>
      <c r="M11" s="11">
        <v>8</v>
      </c>
      <c r="N11" s="12">
        <v>0.9</v>
      </c>
      <c r="O11" s="13">
        <v>160</v>
      </c>
      <c r="P11" t="s">
        <v>653</v>
      </c>
    </row>
    <row r="12" spans="1:16" x14ac:dyDescent="0.25">
      <c r="A12" t="s">
        <v>82</v>
      </c>
      <c r="D12" s="18" t="s">
        <v>150</v>
      </c>
      <c r="E12" s="3" t="s">
        <v>133</v>
      </c>
      <c r="F12" s="3">
        <v>0.9</v>
      </c>
      <c r="G12" s="3">
        <v>160</v>
      </c>
      <c r="I12" t="s">
        <v>344</v>
      </c>
      <c r="J12">
        <v>100</v>
      </c>
      <c r="K12" s="11">
        <v>30</v>
      </c>
      <c r="L12" s="11">
        <v>8</v>
      </c>
      <c r="M12" s="11">
        <v>9</v>
      </c>
      <c r="N12" s="12">
        <v>0.95</v>
      </c>
      <c r="O12" s="13">
        <v>190</v>
      </c>
      <c r="P12" t="s">
        <v>653</v>
      </c>
    </row>
    <row r="13" spans="1:16" x14ac:dyDescent="0.25">
      <c r="D13" s="18" t="s">
        <v>203</v>
      </c>
      <c r="E13" s="3">
        <v>85</v>
      </c>
      <c r="F13" s="3">
        <v>0.85</v>
      </c>
      <c r="G13" s="3">
        <v>180</v>
      </c>
      <c r="I13" t="s">
        <v>345</v>
      </c>
      <c r="J13">
        <v>100</v>
      </c>
      <c r="K13" s="11">
        <v>26.399999618530273</v>
      </c>
      <c r="L13" s="11">
        <v>7</v>
      </c>
      <c r="M13" s="11">
        <v>7</v>
      </c>
      <c r="N13" s="12">
        <v>0.9</v>
      </c>
      <c r="O13" s="13">
        <v>165</v>
      </c>
      <c r="P13" t="s">
        <v>653</v>
      </c>
    </row>
    <row r="14" spans="1:16" x14ac:dyDescent="0.25">
      <c r="A14" t="s">
        <v>88</v>
      </c>
      <c r="D14" s="18" t="s">
        <v>273</v>
      </c>
      <c r="E14" s="3">
        <v>85</v>
      </c>
      <c r="F14" s="3">
        <v>0.85</v>
      </c>
      <c r="G14" s="3">
        <v>180</v>
      </c>
      <c r="I14" t="s">
        <v>346</v>
      </c>
      <c r="J14">
        <v>100</v>
      </c>
      <c r="K14" s="11">
        <v>24.6</v>
      </c>
      <c r="L14" s="11">
        <v>4.5</v>
      </c>
      <c r="M14" s="11">
        <v>8</v>
      </c>
      <c r="N14" s="12">
        <v>0.9</v>
      </c>
      <c r="O14" s="13">
        <v>155</v>
      </c>
      <c r="P14" t="s">
        <v>653</v>
      </c>
    </row>
    <row r="15" spans="1:16" x14ac:dyDescent="0.25">
      <c r="A15" t="s">
        <v>89</v>
      </c>
      <c r="D15" s="18" t="s">
        <v>145</v>
      </c>
      <c r="E15" s="3" t="s">
        <v>133</v>
      </c>
      <c r="F15" s="3">
        <v>0.9</v>
      </c>
      <c r="G15" s="3">
        <v>160</v>
      </c>
      <c r="I15" t="s">
        <v>347</v>
      </c>
      <c r="J15">
        <v>100</v>
      </c>
      <c r="K15" s="11">
        <v>36.799999237060547</v>
      </c>
      <c r="L15" s="11">
        <v>9.5</v>
      </c>
      <c r="M15" s="11">
        <v>8</v>
      </c>
      <c r="N15" s="12">
        <v>0.95</v>
      </c>
      <c r="O15" s="13">
        <v>230</v>
      </c>
      <c r="P15" t="s">
        <v>653</v>
      </c>
    </row>
    <row r="16" spans="1:16" x14ac:dyDescent="0.25">
      <c r="A16" t="s">
        <v>90</v>
      </c>
      <c r="D16" s="18" t="s">
        <v>299</v>
      </c>
      <c r="E16" s="3">
        <v>86</v>
      </c>
      <c r="F16" s="3">
        <v>0.97</v>
      </c>
      <c r="G16" s="3">
        <v>103</v>
      </c>
      <c r="I16" t="s">
        <v>348</v>
      </c>
      <c r="J16">
        <v>100</v>
      </c>
      <c r="K16" s="11">
        <v>32</v>
      </c>
      <c r="L16" s="11">
        <v>8.5</v>
      </c>
      <c r="M16" s="11">
        <v>8</v>
      </c>
      <c r="N16" s="12">
        <v>0.95</v>
      </c>
      <c r="O16" s="13">
        <v>200</v>
      </c>
      <c r="P16" t="s">
        <v>653</v>
      </c>
    </row>
    <row r="17" spans="4:16" x14ac:dyDescent="0.25">
      <c r="D17" s="18" t="s">
        <v>300</v>
      </c>
      <c r="E17" s="3">
        <v>86</v>
      </c>
      <c r="F17" s="3">
        <v>0.98</v>
      </c>
      <c r="G17" s="3">
        <v>120</v>
      </c>
      <c r="I17" t="s">
        <v>349</v>
      </c>
      <c r="J17">
        <v>100</v>
      </c>
      <c r="K17" s="11">
        <v>28.799999237060547</v>
      </c>
      <c r="L17" s="11">
        <v>7</v>
      </c>
      <c r="M17" s="11">
        <v>8</v>
      </c>
      <c r="N17" s="12">
        <v>0.9</v>
      </c>
      <c r="O17" s="13">
        <v>180</v>
      </c>
      <c r="P17" t="s">
        <v>653</v>
      </c>
    </row>
    <row r="18" spans="4:16" x14ac:dyDescent="0.25">
      <c r="D18" s="18" t="s">
        <v>301</v>
      </c>
      <c r="E18" s="3">
        <v>86</v>
      </c>
      <c r="F18" s="3">
        <v>0.98</v>
      </c>
      <c r="G18" s="3">
        <v>135</v>
      </c>
      <c r="I18" t="s">
        <v>350</v>
      </c>
      <c r="J18">
        <v>100</v>
      </c>
      <c r="K18" s="11">
        <v>26.399999618530273</v>
      </c>
      <c r="L18" s="11">
        <v>5</v>
      </c>
      <c r="M18" s="11">
        <v>8</v>
      </c>
      <c r="N18" s="12">
        <v>0.9</v>
      </c>
      <c r="O18" s="13">
        <v>165</v>
      </c>
      <c r="P18" t="s">
        <v>653</v>
      </c>
    </row>
    <row r="19" spans="4:16" x14ac:dyDescent="0.25">
      <c r="D19" s="18" t="s">
        <v>302</v>
      </c>
      <c r="E19" s="3">
        <v>86</v>
      </c>
      <c r="F19" s="3">
        <v>0.98</v>
      </c>
      <c r="G19" s="3">
        <v>149</v>
      </c>
      <c r="I19" t="s">
        <v>351</v>
      </c>
      <c r="J19">
        <v>100</v>
      </c>
      <c r="K19" s="11">
        <v>35.200000762939453</v>
      </c>
      <c r="L19" s="11">
        <v>7</v>
      </c>
      <c r="M19" s="11">
        <v>9</v>
      </c>
      <c r="N19" s="12">
        <v>0.95</v>
      </c>
      <c r="O19" s="13">
        <v>220</v>
      </c>
      <c r="P19" t="s">
        <v>653</v>
      </c>
    </row>
    <row r="20" spans="4:16" x14ac:dyDescent="0.25">
      <c r="D20" s="18" t="s">
        <v>303</v>
      </c>
      <c r="E20" s="3">
        <v>86</v>
      </c>
      <c r="F20" s="3">
        <v>0.98</v>
      </c>
      <c r="G20" s="3">
        <v>163</v>
      </c>
      <c r="I20" t="s">
        <v>352</v>
      </c>
      <c r="J20">
        <v>100</v>
      </c>
      <c r="K20" s="11">
        <v>26.399999618530273</v>
      </c>
      <c r="L20" s="11">
        <v>0</v>
      </c>
      <c r="M20" s="11">
        <v>0</v>
      </c>
      <c r="N20" s="12">
        <v>0.95</v>
      </c>
      <c r="O20" s="13">
        <v>165</v>
      </c>
      <c r="P20" t="s">
        <v>653</v>
      </c>
    </row>
    <row r="21" spans="4:16" x14ac:dyDescent="0.25">
      <c r="D21" s="18" t="s">
        <v>152</v>
      </c>
      <c r="E21" s="3" t="s">
        <v>133</v>
      </c>
      <c r="F21" s="3">
        <v>1.02</v>
      </c>
      <c r="G21" s="3">
        <v>97</v>
      </c>
      <c r="I21" t="s">
        <v>353</v>
      </c>
      <c r="J21">
        <v>100</v>
      </c>
      <c r="K21" s="11">
        <v>26.399999618530273</v>
      </c>
      <c r="L21" s="11">
        <v>6.5</v>
      </c>
      <c r="M21" s="11">
        <v>8</v>
      </c>
      <c r="N21" s="12">
        <v>0.9</v>
      </c>
      <c r="O21" s="13">
        <v>165</v>
      </c>
      <c r="P21" t="s">
        <v>653</v>
      </c>
    </row>
    <row r="22" spans="4:16" x14ac:dyDescent="0.25">
      <c r="D22" s="18" t="s">
        <v>164</v>
      </c>
      <c r="E22" s="3" t="s">
        <v>133</v>
      </c>
      <c r="F22" s="3">
        <v>0.9</v>
      </c>
      <c r="G22" s="3">
        <v>97</v>
      </c>
      <c r="I22" t="s">
        <v>354</v>
      </c>
      <c r="J22">
        <v>100</v>
      </c>
      <c r="K22" s="11">
        <v>48.400001525878906</v>
      </c>
      <c r="L22" s="11">
        <v>6.5</v>
      </c>
      <c r="M22" s="11">
        <v>8</v>
      </c>
      <c r="N22" s="12">
        <v>1</v>
      </c>
      <c r="O22" s="13">
        <v>300</v>
      </c>
      <c r="P22" t="s">
        <v>653</v>
      </c>
    </row>
    <row r="23" spans="4:16" x14ac:dyDescent="0.25">
      <c r="D23" s="18" t="s">
        <v>165</v>
      </c>
      <c r="E23" s="3" t="s">
        <v>133</v>
      </c>
      <c r="F23" s="3">
        <v>0.77</v>
      </c>
      <c r="G23" s="3">
        <v>98</v>
      </c>
      <c r="I23" t="s">
        <v>355</v>
      </c>
      <c r="J23">
        <v>100</v>
      </c>
      <c r="K23" s="11">
        <v>22.399999618530273</v>
      </c>
      <c r="L23" s="11">
        <v>5</v>
      </c>
      <c r="M23" s="11">
        <v>8</v>
      </c>
      <c r="N23" s="12">
        <v>0.9</v>
      </c>
      <c r="O23" s="13">
        <v>140</v>
      </c>
      <c r="P23" t="s">
        <v>653</v>
      </c>
    </row>
    <row r="24" spans="4:16" x14ac:dyDescent="0.25">
      <c r="D24" s="18" t="s">
        <v>153</v>
      </c>
      <c r="E24" s="3" t="s">
        <v>133</v>
      </c>
      <c r="F24" s="3">
        <v>0.77</v>
      </c>
      <c r="G24" s="3">
        <v>98</v>
      </c>
      <c r="I24" t="s">
        <v>356</v>
      </c>
      <c r="J24">
        <v>100</v>
      </c>
      <c r="K24" s="11">
        <v>28.799999237060547</v>
      </c>
      <c r="L24" s="11">
        <v>4.4000000953674316</v>
      </c>
      <c r="M24" s="11">
        <v>9</v>
      </c>
      <c r="N24" s="12">
        <v>0.9</v>
      </c>
      <c r="O24" s="13">
        <v>160</v>
      </c>
      <c r="P24" t="s">
        <v>653</v>
      </c>
    </row>
    <row r="25" spans="4:16" x14ac:dyDescent="0.25">
      <c r="D25" s="18" t="s">
        <v>276</v>
      </c>
      <c r="E25" s="3">
        <v>20</v>
      </c>
      <c r="F25" s="3">
        <v>1.1000000000000001</v>
      </c>
      <c r="G25" s="3">
        <v>65</v>
      </c>
      <c r="I25" t="s">
        <v>315</v>
      </c>
      <c r="J25">
        <v>85</v>
      </c>
      <c r="K25" s="11">
        <v>16</v>
      </c>
      <c r="L25" s="11">
        <v>3.5</v>
      </c>
      <c r="M25" s="11">
        <v>5.1999998092651367</v>
      </c>
      <c r="N25" s="12">
        <v>0.77</v>
      </c>
      <c r="O25" s="13">
        <v>98</v>
      </c>
      <c r="P25" t="s">
        <v>653</v>
      </c>
    </row>
    <row r="26" spans="4:16" x14ac:dyDescent="0.25">
      <c r="D26" s="18" t="s">
        <v>277</v>
      </c>
      <c r="E26" s="3">
        <v>86</v>
      </c>
      <c r="F26" s="3" t="s">
        <v>278</v>
      </c>
      <c r="G26" s="3">
        <v>83</v>
      </c>
      <c r="I26" t="s">
        <v>357</v>
      </c>
      <c r="J26">
        <v>11</v>
      </c>
      <c r="K26" s="11">
        <v>16</v>
      </c>
      <c r="L26" s="11">
        <v>1.5</v>
      </c>
      <c r="M26" s="11">
        <v>29</v>
      </c>
      <c r="N26" s="12">
        <v>1.1000000000000001</v>
      </c>
      <c r="O26" s="13">
        <v>95</v>
      </c>
      <c r="P26" t="s">
        <v>654</v>
      </c>
    </row>
    <row r="27" spans="4:16" x14ac:dyDescent="0.25">
      <c r="D27" s="18" t="s">
        <v>279</v>
      </c>
      <c r="E27" s="3">
        <v>86</v>
      </c>
      <c r="F27" s="3">
        <v>1</v>
      </c>
      <c r="G27" s="3">
        <v>109</v>
      </c>
      <c r="I27" t="s">
        <v>358</v>
      </c>
      <c r="J27">
        <v>15</v>
      </c>
      <c r="K27" s="11">
        <v>13.399999618530273</v>
      </c>
      <c r="L27" s="11">
        <v>1.5</v>
      </c>
      <c r="M27" s="11">
        <v>0</v>
      </c>
      <c r="N27" s="12">
        <v>1.1000000000000001</v>
      </c>
      <c r="O27" s="13">
        <v>80</v>
      </c>
      <c r="P27" t="s">
        <v>654</v>
      </c>
    </row>
    <row r="28" spans="4:16" x14ac:dyDescent="0.25">
      <c r="D28" s="18" t="s">
        <v>155</v>
      </c>
      <c r="E28" s="3" t="s">
        <v>133</v>
      </c>
      <c r="F28" s="3">
        <v>1.02</v>
      </c>
      <c r="G28" s="3">
        <v>137</v>
      </c>
      <c r="I28" t="s">
        <v>309</v>
      </c>
      <c r="J28">
        <v>85</v>
      </c>
      <c r="K28" s="11">
        <v>20</v>
      </c>
      <c r="L28" s="11">
        <v>3.7999999523162842</v>
      </c>
      <c r="M28" s="11">
        <v>4.3000001907348633</v>
      </c>
      <c r="N28" s="12">
        <v>1.02</v>
      </c>
      <c r="O28" s="13">
        <v>107</v>
      </c>
      <c r="P28" t="s">
        <v>653</v>
      </c>
    </row>
    <row r="29" spans="4:16" x14ac:dyDescent="0.25">
      <c r="D29" s="18" t="s">
        <v>154</v>
      </c>
      <c r="E29" s="3" t="s">
        <v>133</v>
      </c>
      <c r="F29" s="3">
        <v>1.02</v>
      </c>
      <c r="G29" s="3">
        <v>107</v>
      </c>
      <c r="I29" t="s">
        <v>359</v>
      </c>
      <c r="J29">
        <v>21</v>
      </c>
      <c r="K29" s="11">
        <v>48</v>
      </c>
      <c r="L29" s="11">
        <v>5.6999998092651367</v>
      </c>
      <c r="M29" s="11">
        <v>0.80000001192092896</v>
      </c>
      <c r="N29" s="12">
        <v>0.82</v>
      </c>
      <c r="O29" s="13">
        <v>260</v>
      </c>
      <c r="P29" t="s">
        <v>654</v>
      </c>
    </row>
    <row r="30" spans="4:16" x14ac:dyDescent="0.25">
      <c r="D30" s="18" t="s">
        <v>288</v>
      </c>
      <c r="E30" s="3">
        <v>86</v>
      </c>
      <c r="F30" s="3" t="s">
        <v>289</v>
      </c>
      <c r="G30" s="3">
        <v>161</v>
      </c>
      <c r="I30" t="s">
        <v>360</v>
      </c>
      <c r="J30" s="11">
        <v>16.700000762939453</v>
      </c>
      <c r="K30" s="11">
        <v>9</v>
      </c>
      <c r="L30" s="11">
        <v>2.5</v>
      </c>
      <c r="M30" s="11">
        <v>29</v>
      </c>
      <c r="N30" s="12">
        <v>0.7</v>
      </c>
      <c r="O30" s="13">
        <v>60</v>
      </c>
      <c r="P30" t="s">
        <v>654</v>
      </c>
    </row>
    <row r="31" spans="4:16" x14ac:dyDescent="0.25">
      <c r="D31" s="18" t="s">
        <v>286</v>
      </c>
      <c r="E31" s="3">
        <v>86</v>
      </c>
      <c r="F31" s="3" t="s">
        <v>287</v>
      </c>
      <c r="G31" s="3">
        <v>133</v>
      </c>
      <c r="I31" t="s">
        <v>361</v>
      </c>
      <c r="J31">
        <v>20</v>
      </c>
      <c r="K31" s="11">
        <v>22</v>
      </c>
      <c r="L31" s="11">
        <v>3</v>
      </c>
      <c r="M31" s="11">
        <v>20.700000762939453</v>
      </c>
      <c r="N31" s="12">
        <v>0.85</v>
      </c>
      <c r="O31" s="13">
        <v>135</v>
      </c>
      <c r="P31" t="s">
        <v>654</v>
      </c>
    </row>
    <row r="32" spans="4:16" x14ac:dyDescent="0.25">
      <c r="D32" s="18" t="s">
        <v>284</v>
      </c>
      <c r="E32" s="3">
        <v>86</v>
      </c>
      <c r="F32" s="3" t="s">
        <v>285</v>
      </c>
      <c r="G32" s="3">
        <v>101</v>
      </c>
      <c r="I32" t="s">
        <v>362</v>
      </c>
      <c r="J32">
        <v>85</v>
      </c>
      <c r="K32" s="11">
        <v>14</v>
      </c>
      <c r="L32" s="11">
        <v>1.2999999523162842</v>
      </c>
      <c r="M32" s="11">
        <v>20.700000762939453</v>
      </c>
      <c r="N32" s="12">
        <v>0.7</v>
      </c>
      <c r="O32" s="13">
        <v>75</v>
      </c>
      <c r="P32" t="s">
        <v>654</v>
      </c>
    </row>
    <row r="33" spans="4:16" x14ac:dyDescent="0.25">
      <c r="D33" s="18" t="s">
        <v>226</v>
      </c>
      <c r="E33" s="3">
        <v>31</v>
      </c>
      <c r="F33" s="3">
        <v>0.60000000000000009</v>
      </c>
      <c r="G33" s="3">
        <v>66</v>
      </c>
      <c r="I33" t="s">
        <v>363</v>
      </c>
      <c r="J33">
        <v>86.5</v>
      </c>
      <c r="K33" s="11">
        <v>40</v>
      </c>
      <c r="L33" s="11">
        <v>7</v>
      </c>
      <c r="M33" s="11">
        <v>0</v>
      </c>
      <c r="N33" s="12">
        <v>1.03</v>
      </c>
      <c r="O33" s="13">
        <v>250</v>
      </c>
      <c r="P33" t="s">
        <v>653</v>
      </c>
    </row>
    <row r="34" spans="4:16" x14ac:dyDescent="0.25">
      <c r="D34" s="18" t="s">
        <v>227</v>
      </c>
      <c r="E34" s="3" t="s">
        <v>228</v>
      </c>
      <c r="F34" s="3">
        <v>0.72</v>
      </c>
      <c r="G34" s="3">
        <v>144</v>
      </c>
      <c r="I34" t="s">
        <v>364</v>
      </c>
      <c r="J34">
        <v>85</v>
      </c>
      <c r="K34" s="11">
        <v>20</v>
      </c>
      <c r="L34" s="11">
        <v>2.5999999046325684</v>
      </c>
      <c r="M34" s="11">
        <v>19</v>
      </c>
      <c r="N34" s="12">
        <v>0.7</v>
      </c>
      <c r="O34" s="13">
        <v>125</v>
      </c>
      <c r="P34" t="s">
        <v>654</v>
      </c>
    </row>
    <row r="35" spans="4:16" x14ac:dyDescent="0.25">
      <c r="D35" s="18" t="s">
        <v>132</v>
      </c>
      <c r="E35" s="3" t="s">
        <v>133</v>
      </c>
      <c r="F35" s="3">
        <v>1</v>
      </c>
      <c r="G35" s="3">
        <v>80</v>
      </c>
      <c r="I35" t="s">
        <v>365</v>
      </c>
      <c r="J35">
        <v>85</v>
      </c>
      <c r="K35" s="11">
        <v>15</v>
      </c>
      <c r="L35" s="11">
        <v>2.5999999046325684</v>
      </c>
      <c r="M35" s="11">
        <v>18.299999237060547</v>
      </c>
      <c r="N35" s="12">
        <v>0.7</v>
      </c>
      <c r="O35" s="13">
        <v>90</v>
      </c>
      <c r="P35" t="s">
        <v>654</v>
      </c>
    </row>
    <row r="36" spans="4:16" x14ac:dyDescent="0.25">
      <c r="D36" s="18" t="s">
        <v>151</v>
      </c>
      <c r="E36" s="3" t="s">
        <v>133</v>
      </c>
      <c r="F36" s="3">
        <v>1.02</v>
      </c>
      <c r="G36" s="3">
        <v>97</v>
      </c>
      <c r="I36" t="s">
        <v>366</v>
      </c>
      <c r="J36">
        <v>85</v>
      </c>
      <c r="K36" s="11">
        <v>13</v>
      </c>
      <c r="L36" s="11">
        <v>2.2999999523162842</v>
      </c>
      <c r="M36" s="11">
        <v>16</v>
      </c>
      <c r="N36" s="12">
        <v>0.65</v>
      </c>
      <c r="O36" s="13">
        <v>80</v>
      </c>
      <c r="P36" t="s">
        <v>654</v>
      </c>
    </row>
    <row r="37" spans="4:16" x14ac:dyDescent="0.25">
      <c r="D37" s="18" t="s">
        <v>163</v>
      </c>
      <c r="E37" s="3" t="s">
        <v>133</v>
      </c>
      <c r="F37" s="3">
        <v>0.9</v>
      </c>
      <c r="G37" s="3">
        <v>97</v>
      </c>
      <c r="I37" t="s">
        <v>367</v>
      </c>
      <c r="J37">
        <v>89</v>
      </c>
      <c r="K37" s="11">
        <v>34.599998474121094</v>
      </c>
      <c r="L37" s="11">
        <v>7.8000001907348633</v>
      </c>
      <c r="M37" s="11">
        <v>0</v>
      </c>
      <c r="N37" s="12">
        <v>0.93</v>
      </c>
      <c r="O37" s="13">
        <v>190</v>
      </c>
      <c r="P37" t="s">
        <v>653</v>
      </c>
    </row>
    <row r="38" spans="4:16" x14ac:dyDescent="0.25">
      <c r="D38" s="18" t="s">
        <v>210</v>
      </c>
      <c r="E38" s="3" t="s">
        <v>211</v>
      </c>
      <c r="F38" s="3">
        <v>0.7</v>
      </c>
      <c r="G38" s="3">
        <v>81</v>
      </c>
      <c r="I38" t="s">
        <v>368</v>
      </c>
      <c r="J38">
        <v>100</v>
      </c>
      <c r="K38" s="11">
        <v>20.600000381469727</v>
      </c>
      <c r="L38" s="11">
        <v>10</v>
      </c>
      <c r="M38" s="11">
        <v>0</v>
      </c>
      <c r="N38" s="12">
        <v>7.0000000000000007E-2</v>
      </c>
      <c r="O38" s="13">
        <v>120</v>
      </c>
      <c r="P38" t="s">
        <v>653</v>
      </c>
    </row>
    <row r="39" spans="4:16" x14ac:dyDescent="0.25">
      <c r="D39" s="18" t="s">
        <v>206</v>
      </c>
      <c r="E39" s="3" t="s">
        <v>207</v>
      </c>
      <c r="F39" s="3">
        <v>1.02</v>
      </c>
      <c r="G39" s="3">
        <v>170</v>
      </c>
      <c r="I39" t="s">
        <v>369</v>
      </c>
      <c r="J39">
        <v>88</v>
      </c>
      <c r="K39" s="11">
        <v>40</v>
      </c>
      <c r="L39" s="11">
        <v>6.9000000953674316</v>
      </c>
      <c r="M39" s="11">
        <v>0</v>
      </c>
      <c r="N39" s="12">
        <v>0.95</v>
      </c>
      <c r="O39" s="13">
        <v>250</v>
      </c>
      <c r="P39" t="s">
        <v>653</v>
      </c>
    </row>
    <row r="40" spans="4:16" x14ac:dyDescent="0.25">
      <c r="D40" s="18" t="s">
        <v>171</v>
      </c>
      <c r="E40" s="3" t="s">
        <v>133</v>
      </c>
      <c r="F40" s="3">
        <v>1.6800000000000002</v>
      </c>
      <c r="G40" s="3">
        <v>183</v>
      </c>
      <c r="I40" t="s">
        <v>370</v>
      </c>
      <c r="J40" s="13">
        <v>86.699996948242188</v>
      </c>
      <c r="K40" s="11">
        <v>64</v>
      </c>
      <c r="L40" s="11">
        <v>4.5999999046325684</v>
      </c>
      <c r="M40" s="11">
        <v>15</v>
      </c>
      <c r="N40" s="12">
        <v>1.1000000000000001</v>
      </c>
      <c r="O40" s="13">
        <v>330</v>
      </c>
      <c r="P40" t="s">
        <v>653</v>
      </c>
    </row>
    <row r="41" spans="4:16" x14ac:dyDescent="0.25">
      <c r="D41" s="18" t="s">
        <v>171</v>
      </c>
      <c r="E41" s="3" t="s">
        <v>208</v>
      </c>
      <c r="F41" s="3">
        <v>0.88</v>
      </c>
      <c r="G41" s="3">
        <v>190</v>
      </c>
      <c r="I41" t="s">
        <v>371</v>
      </c>
      <c r="J41">
        <v>90</v>
      </c>
      <c r="K41" s="11">
        <v>25.600000381469727</v>
      </c>
      <c r="L41" s="11">
        <v>2.7000000476837158</v>
      </c>
      <c r="M41" s="11">
        <v>15</v>
      </c>
      <c r="N41" s="12">
        <v>0.75</v>
      </c>
      <c r="O41" s="13">
        <v>160</v>
      </c>
      <c r="P41" t="s">
        <v>653</v>
      </c>
    </row>
    <row r="42" spans="4:16" x14ac:dyDescent="0.25">
      <c r="D42" s="18" t="s">
        <v>146</v>
      </c>
      <c r="E42" s="3" t="s">
        <v>133</v>
      </c>
      <c r="F42" s="3">
        <v>0.9</v>
      </c>
      <c r="G42" s="3">
        <v>160</v>
      </c>
      <c r="I42" t="s">
        <v>401</v>
      </c>
      <c r="J42">
        <v>90</v>
      </c>
      <c r="K42" s="11">
        <v>28.8</v>
      </c>
      <c r="L42" s="11">
        <v>2.7000000476837158</v>
      </c>
      <c r="M42" s="11">
        <v>15</v>
      </c>
      <c r="N42" s="12">
        <v>0.75</v>
      </c>
      <c r="O42" s="13">
        <v>180</v>
      </c>
      <c r="P42" t="s">
        <v>653</v>
      </c>
    </row>
    <row r="43" spans="4:16" x14ac:dyDescent="0.25">
      <c r="D43" s="18" t="s">
        <v>181</v>
      </c>
      <c r="E43" s="3">
        <v>87</v>
      </c>
      <c r="F43" s="3">
        <v>0.95</v>
      </c>
      <c r="G43" s="3">
        <v>140</v>
      </c>
      <c r="I43" t="s">
        <v>372</v>
      </c>
      <c r="J43">
        <v>30</v>
      </c>
      <c r="K43" s="11">
        <v>13</v>
      </c>
      <c r="L43" s="11">
        <v>2.4000000953674316</v>
      </c>
      <c r="M43" s="11">
        <v>10.399999618530273</v>
      </c>
      <c r="N43" s="12">
        <v>0.9</v>
      </c>
      <c r="O43" s="13">
        <v>75</v>
      </c>
      <c r="P43" t="s">
        <v>654</v>
      </c>
    </row>
    <row r="44" spans="4:16" x14ac:dyDescent="0.25">
      <c r="D44" s="18" t="s">
        <v>259</v>
      </c>
      <c r="E44" s="3" t="s">
        <v>260</v>
      </c>
      <c r="F44" s="3">
        <v>0.7</v>
      </c>
      <c r="G44" s="3">
        <v>200</v>
      </c>
      <c r="I44" t="s">
        <v>373</v>
      </c>
      <c r="J44">
        <v>85</v>
      </c>
      <c r="K44" s="11">
        <v>15</v>
      </c>
      <c r="L44" s="11">
        <v>3.5</v>
      </c>
      <c r="M44" s="11">
        <v>3.5999999046325684</v>
      </c>
      <c r="N44" s="12">
        <v>1.06</v>
      </c>
      <c r="O44" s="13">
        <v>83</v>
      </c>
      <c r="P44" t="s">
        <v>653</v>
      </c>
    </row>
    <row r="45" spans="4:16" x14ac:dyDescent="0.25">
      <c r="D45" s="18" t="s">
        <v>261</v>
      </c>
      <c r="E45" s="3" t="s">
        <v>247</v>
      </c>
      <c r="F45" s="3">
        <v>0.7</v>
      </c>
      <c r="G45" s="3">
        <v>210</v>
      </c>
      <c r="I45" t="s">
        <v>374</v>
      </c>
      <c r="J45">
        <v>85</v>
      </c>
      <c r="K45" s="11">
        <v>12.600000381469727</v>
      </c>
      <c r="L45" s="11">
        <v>1.6000000238418579</v>
      </c>
      <c r="M45" s="11">
        <v>0</v>
      </c>
      <c r="N45" s="12">
        <v>0.7</v>
      </c>
      <c r="O45" s="13">
        <v>79</v>
      </c>
      <c r="P45" t="s">
        <v>654</v>
      </c>
    </row>
    <row r="46" spans="4:16" x14ac:dyDescent="0.25">
      <c r="D46" s="18" t="s">
        <v>183</v>
      </c>
      <c r="E46" s="3" t="s">
        <v>133</v>
      </c>
      <c r="F46" s="3">
        <v>0.93</v>
      </c>
      <c r="G46" s="3">
        <v>190</v>
      </c>
      <c r="I46" t="s">
        <v>375</v>
      </c>
      <c r="J46">
        <v>67</v>
      </c>
      <c r="K46" s="11">
        <v>27.5</v>
      </c>
      <c r="L46" s="11">
        <v>2.5</v>
      </c>
      <c r="M46" s="11">
        <v>0</v>
      </c>
      <c r="N46" s="12">
        <v>0.31</v>
      </c>
      <c r="O46" s="13">
        <v>142</v>
      </c>
      <c r="P46" t="s">
        <v>654</v>
      </c>
    </row>
    <row r="47" spans="4:16" x14ac:dyDescent="0.25">
      <c r="D47" s="18" t="s">
        <v>239</v>
      </c>
      <c r="E47" s="3">
        <v>27</v>
      </c>
      <c r="F47" s="3">
        <v>0.8</v>
      </c>
      <c r="G47" s="3">
        <v>80</v>
      </c>
      <c r="I47" t="s">
        <v>376</v>
      </c>
      <c r="J47">
        <v>85</v>
      </c>
      <c r="K47" s="11">
        <v>22</v>
      </c>
      <c r="L47" s="11">
        <v>4</v>
      </c>
      <c r="M47" s="11">
        <v>0</v>
      </c>
      <c r="N47" s="12">
        <v>0.95</v>
      </c>
      <c r="O47" s="13">
        <v>94</v>
      </c>
      <c r="P47" t="s">
        <v>653</v>
      </c>
    </row>
    <row r="48" spans="4:16" x14ac:dyDescent="0.25">
      <c r="D48" s="18" t="s">
        <v>262</v>
      </c>
      <c r="E48" s="3" t="s">
        <v>263</v>
      </c>
      <c r="F48" s="3">
        <v>1.05</v>
      </c>
      <c r="G48" s="3">
        <v>320</v>
      </c>
      <c r="I48" t="s">
        <v>377</v>
      </c>
      <c r="J48">
        <v>74</v>
      </c>
      <c r="K48" s="11">
        <v>9</v>
      </c>
      <c r="L48" s="11">
        <v>2.880000114440918</v>
      </c>
      <c r="M48" s="11">
        <v>0</v>
      </c>
      <c r="N48" s="12">
        <v>0.86</v>
      </c>
      <c r="O48" s="13">
        <v>55</v>
      </c>
      <c r="P48" t="s">
        <v>654</v>
      </c>
    </row>
    <row r="49" spans="4:16" x14ac:dyDescent="0.25">
      <c r="D49" s="18" t="s">
        <v>185</v>
      </c>
      <c r="E49" s="3">
        <v>25</v>
      </c>
      <c r="F49" s="3">
        <v>0.76</v>
      </c>
      <c r="G49" s="3">
        <v>230</v>
      </c>
      <c r="I49" t="s">
        <v>378</v>
      </c>
      <c r="J49">
        <v>76</v>
      </c>
      <c r="K49" s="11">
        <v>23.399999618530273</v>
      </c>
      <c r="L49" s="11">
        <v>3.2799999713897705</v>
      </c>
      <c r="M49" s="11">
        <v>39.799999237060547</v>
      </c>
      <c r="N49" s="12">
        <v>0.99</v>
      </c>
      <c r="O49" s="13">
        <v>145</v>
      </c>
      <c r="P49" t="s">
        <v>654</v>
      </c>
    </row>
    <row r="50" spans="4:16" x14ac:dyDescent="0.25">
      <c r="D50" s="18" t="s">
        <v>230</v>
      </c>
      <c r="E50" s="3" t="s">
        <v>231</v>
      </c>
      <c r="F50" s="3">
        <v>0.82</v>
      </c>
      <c r="G50" s="3">
        <v>260</v>
      </c>
      <c r="I50" t="s">
        <v>316</v>
      </c>
      <c r="J50">
        <v>85</v>
      </c>
      <c r="K50" s="11">
        <v>19.299999237060547</v>
      </c>
      <c r="L50" s="11">
        <v>4</v>
      </c>
      <c r="M50" s="11">
        <v>5.8000001907348633</v>
      </c>
      <c r="N50" s="12">
        <v>0.95</v>
      </c>
      <c r="O50" s="13">
        <v>100</v>
      </c>
      <c r="P50" t="s">
        <v>653</v>
      </c>
    </row>
    <row r="51" spans="4:16" x14ac:dyDescent="0.25">
      <c r="D51" s="18" t="s">
        <v>184</v>
      </c>
      <c r="E51" s="3" t="s">
        <v>133</v>
      </c>
      <c r="F51" s="3">
        <v>0.76</v>
      </c>
      <c r="G51" s="3">
        <v>230</v>
      </c>
      <c r="I51" t="s">
        <v>379</v>
      </c>
      <c r="J51">
        <v>85</v>
      </c>
      <c r="K51" s="11">
        <v>5.5999999046325684</v>
      </c>
      <c r="L51" s="11">
        <v>1</v>
      </c>
      <c r="M51" s="11">
        <v>9.5</v>
      </c>
      <c r="N51" s="12">
        <v>0.45</v>
      </c>
      <c r="O51" s="13">
        <v>35</v>
      </c>
      <c r="P51" t="s">
        <v>654</v>
      </c>
    </row>
    <row r="52" spans="4:16" x14ac:dyDescent="0.25">
      <c r="D52" s="18" t="s">
        <v>229</v>
      </c>
      <c r="E52" s="3" t="s">
        <v>213</v>
      </c>
      <c r="F52" s="3">
        <v>0.82</v>
      </c>
      <c r="G52" s="3">
        <v>260</v>
      </c>
      <c r="I52" t="s">
        <v>380</v>
      </c>
      <c r="J52">
        <v>85</v>
      </c>
      <c r="K52" s="11">
        <v>21</v>
      </c>
      <c r="L52" s="11">
        <v>4.5999999046325684</v>
      </c>
      <c r="M52" s="11">
        <v>9.3000001907348633</v>
      </c>
      <c r="N52" s="12">
        <v>1.04</v>
      </c>
      <c r="O52" s="13">
        <v>203</v>
      </c>
      <c r="P52" t="s">
        <v>653</v>
      </c>
    </row>
    <row r="53" spans="4:16" x14ac:dyDescent="0.25">
      <c r="D53" s="18" t="s">
        <v>186</v>
      </c>
      <c r="E53" s="3" t="s">
        <v>133</v>
      </c>
      <c r="F53" s="3">
        <v>0.97</v>
      </c>
      <c r="G53" s="3">
        <v>240</v>
      </c>
      <c r="I53" t="s">
        <v>381</v>
      </c>
      <c r="J53">
        <v>20</v>
      </c>
      <c r="K53" s="11">
        <v>17.299999237060547</v>
      </c>
      <c r="L53" s="11">
        <v>2</v>
      </c>
      <c r="M53" s="11">
        <v>24</v>
      </c>
      <c r="N53" s="12">
        <v>1.08</v>
      </c>
      <c r="O53" s="13">
        <v>105</v>
      </c>
      <c r="P53" t="s">
        <v>654</v>
      </c>
    </row>
    <row r="54" spans="4:16" x14ac:dyDescent="0.25">
      <c r="D54" s="18" t="s">
        <v>264</v>
      </c>
      <c r="E54" s="3" t="s">
        <v>133</v>
      </c>
      <c r="F54" s="3">
        <v>1.1000000000000001</v>
      </c>
      <c r="G54" s="3">
        <v>200</v>
      </c>
      <c r="I54" t="s">
        <v>382</v>
      </c>
      <c r="J54">
        <v>100</v>
      </c>
      <c r="K54" s="11">
        <v>36</v>
      </c>
      <c r="L54" s="11">
        <v>10.5</v>
      </c>
      <c r="M54" s="11">
        <v>17</v>
      </c>
      <c r="N54" s="12">
        <v>1</v>
      </c>
      <c r="O54" s="13">
        <v>220</v>
      </c>
      <c r="P54" t="s">
        <v>654</v>
      </c>
    </row>
    <row r="55" spans="4:16" x14ac:dyDescent="0.25">
      <c r="D55" s="18" t="s">
        <v>251</v>
      </c>
      <c r="E55" s="3" t="s">
        <v>252</v>
      </c>
      <c r="F55" s="3">
        <v>0.7</v>
      </c>
      <c r="G55" s="3">
        <v>220</v>
      </c>
      <c r="I55" t="s">
        <v>383</v>
      </c>
      <c r="J55">
        <v>91</v>
      </c>
      <c r="K55" s="11">
        <v>15.699999809265137</v>
      </c>
      <c r="L55" s="11">
        <v>3.309999942779541</v>
      </c>
      <c r="M55" s="11">
        <v>0</v>
      </c>
      <c r="N55" s="12">
        <v>0.9</v>
      </c>
      <c r="O55" s="13">
        <v>100</v>
      </c>
      <c r="P55" t="s">
        <v>653</v>
      </c>
    </row>
    <row r="56" spans="4:16" x14ac:dyDescent="0.25">
      <c r="D56" s="18" t="s">
        <v>161</v>
      </c>
      <c r="E56" s="3" t="s">
        <v>162</v>
      </c>
      <c r="F56" s="3">
        <v>1</v>
      </c>
      <c r="G56" s="3">
        <v>97</v>
      </c>
      <c r="I56" t="s">
        <v>384</v>
      </c>
      <c r="J56">
        <v>89</v>
      </c>
      <c r="K56" s="11">
        <v>62.5</v>
      </c>
      <c r="L56" s="11">
        <v>12.399999618530273</v>
      </c>
      <c r="M56" s="11">
        <v>10.800000190734863</v>
      </c>
      <c r="N56" s="12">
        <v>0.9</v>
      </c>
      <c r="O56" s="13">
        <v>350</v>
      </c>
      <c r="P56" t="s">
        <v>653</v>
      </c>
    </row>
    <row r="57" spans="4:16" x14ac:dyDescent="0.25">
      <c r="D57" s="18" t="s">
        <v>232</v>
      </c>
      <c r="E57" s="3" t="s">
        <v>233</v>
      </c>
      <c r="F57" s="3">
        <v>0.7</v>
      </c>
      <c r="G57" s="3">
        <v>75</v>
      </c>
      <c r="I57" t="s">
        <v>385</v>
      </c>
      <c r="J57">
        <v>89</v>
      </c>
      <c r="K57" s="11">
        <v>55</v>
      </c>
      <c r="L57" s="11">
        <v>9.5</v>
      </c>
      <c r="M57" s="11">
        <v>10.800000190734863</v>
      </c>
      <c r="N57" s="12">
        <v>0.85</v>
      </c>
      <c r="O57" s="13">
        <v>310</v>
      </c>
      <c r="P57" t="s">
        <v>653</v>
      </c>
    </row>
    <row r="58" spans="4:16" x14ac:dyDescent="0.25">
      <c r="D58" s="18" t="s">
        <v>254</v>
      </c>
      <c r="E58" s="3">
        <v>13</v>
      </c>
      <c r="F58" s="3">
        <v>0.85</v>
      </c>
      <c r="G58" s="3">
        <v>150</v>
      </c>
      <c r="I58" t="s">
        <v>386</v>
      </c>
      <c r="J58">
        <v>100</v>
      </c>
      <c r="K58" s="11">
        <v>70.400001525878906</v>
      </c>
      <c r="L58" s="11">
        <v>7</v>
      </c>
      <c r="M58" s="11">
        <v>17.399999618530273</v>
      </c>
      <c r="N58" s="12">
        <v>1.05</v>
      </c>
      <c r="O58" s="13">
        <v>430</v>
      </c>
      <c r="P58" t="s">
        <v>653</v>
      </c>
    </row>
    <row r="59" spans="4:16" x14ac:dyDescent="0.25">
      <c r="D59" s="18" t="s">
        <v>176</v>
      </c>
      <c r="E59" s="3" t="s">
        <v>133</v>
      </c>
      <c r="F59" s="3">
        <v>1.03</v>
      </c>
      <c r="G59" s="3">
        <v>250</v>
      </c>
      <c r="I59" t="s">
        <v>387</v>
      </c>
      <c r="J59">
        <v>100</v>
      </c>
      <c r="K59" s="11">
        <v>73.599998474121094</v>
      </c>
      <c r="L59" s="11">
        <v>7.4000000953674316</v>
      </c>
      <c r="M59" s="11">
        <v>17.399999618530273</v>
      </c>
      <c r="N59" s="12">
        <v>1.06</v>
      </c>
      <c r="O59" s="13">
        <v>440</v>
      </c>
      <c r="P59" t="s">
        <v>653</v>
      </c>
    </row>
    <row r="60" spans="4:16" x14ac:dyDescent="0.25">
      <c r="D60" s="18" t="s">
        <v>175</v>
      </c>
      <c r="E60" s="3" t="s">
        <v>133</v>
      </c>
      <c r="F60" s="3">
        <v>1.03</v>
      </c>
      <c r="G60" s="3">
        <v>250</v>
      </c>
      <c r="I60" t="s">
        <v>388</v>
      </c>
      <c r="J60">
        <v>100</v>
      </c>
      <c r="K60" s="11">
        <v>78</v>
      </c>
      <c r="L60" s="11">
        <v>7.8000001907348633</v>
      </c>
      <c r="M60" s="11">
        <v>17.399999618530273</v>
      </c>
      <c r="N60" s="12">
        <v>1.06</v>
      </c>
      <c r="O60" s="13">
        <v>460</v>
      </c>
      <c r="P60" t="s">
        <v>653</v>
      </c>
    </row>
    <row r="61" spans="4:16" x14ac:dyDescent="0.25">
      <c r="D61" s="18" t="s">
        <v>294</v>
      </c>
      <c r="E61" s="3">
        <v>86</v>
      </c>
      <c r="F61" s="3">
        <v>1</v>
      </c>
      <c r="G61" s="3">
        <v>239</v>
      </c>
      <c r="I61" t="s">
        <v>389</v>
      </c>
      <c r="J61">
        <v>100</v>
      </c>
      <c r="K61" s="11">
        <v>67.199996948242188</v>
      </c>
      <c r="L61" s="11">
        <v>7.8000001907348633</v>
      </c>
      <c r="M61" s="11">
        <v>17.399999618530273</v>
      </c>
      <c r="N61" s="12">
        <v>1.06</v>
      </c>
      <c r="O61" s="13">
        <v>460</v>
      </c>
      <c r="P61" t="s">
        <v>653</v>
      </c>
    </row>
    <row r="62" spans="4:16" x14ac:dyDescent="0.25">
      <c r="D62" s="18" t="s">
        <v>212</v>
      </c>
      <c r="E62" s="3" t="s">
        <v>213</v>
      </c>
      <c r="F62" s="3">
        <v>0.7</v>
      </c>
      <c r="G62" s="3">
        <v>100</v>
      </c>
      <c r="I62" t="s">
        <v>390</v>
      </c>
      <c r="J62">
        <v>90</v>
      </c>
      <c r="K62" s="11">
        <v>61</v>
      </c>
      <c r="L62" s="11">
        <v>10.300000190734863</v>
      </c>
      <c r="M62" s="11">
        <v>10</v>
      </c>
      <c r="N62" s="12">
        <v>0.56000000000000005</v>
      </c>
      <c r="O62" s="13">
        <v>280</v>
      </c>
      <c r="P62" t="s">
        <v>653</v>
      </c>
    </row>
    <row r="63" spans="4:16" x14ac:dyDescent="0.25">
      <c r="D63" s="18" t="s">
        <v>217</v>
      </c>
      <c r="E63" s="3" t="s">
        <v>213</v>
      </c>
      <c r="F63" s="3">
        <v>0.72</v>
      </c>
      <c r="G63" s="3">
        <v>100</v>
      </c>
      <c r="I63" t="s">
        <v>310</v>
      </c>
      <c r="J63">
        <v>85</v>
      </c>
      <c r="K63" s="11">
        <v>20.799999237060547</v>
      </c>
      <c r="L63" s="11">
        <v>4.5999999046325684</v>
      </c>
      <c r="M63" s="11">
        <v>5</v>
      </c>
      <c r="N63" s="12">
        <v>1.01</v>
      </c>
      <c r="O63" s="13">
        <v>97</v>
      </c>
      <c r="P63" t="s">
        <v>653</v>
      </c>
    </row>
    <row r="64" spans="4:16" x14ac:dyDescent="0.25">
      <c r="D64" s="18" t="s">
        <v>215</v>
      </c>
      <c r="E64" s="3" t="s">
        <v>213</v>
      </c>
      <c r="F64" s="3">
        <v>0.7</v>
      </c>
      <c r="G64" s="3">
        <v>145</v>
      </c>
      <c r="I64" t="s">
        <v>391</v>
      </c>
      <c r="J64">
        <v>99</v>
      </c>
      <c r="K64" s="11">
        <v>460</v>
      </c>
      <c r="L64" s="11">
        <v>0</v>
      </c>
      <c r="M64" s="11">
        <v>0</v>
      </c>
      <c r="N64" s="12">
        <v>0</v>
      </c>
      <c r="O64" s="13">
        <v>2875</v>
      </c>
      <c r="P64" t="s">
        <v>654</v>
      </c>
    </row>
    <row r="65" spans="4:12" x14ac:dyDescent="0.25">
      <c r="D65" s="18" t="s">
        <v>214</v>
      </c>
      <c r="E65" s="3" t="s">
        <v>213</v>
      </c>
      <c r="F65" s="3">
        <v>0.68</v>
      </c>
      <c r="G65" s="3">
        <v>165</v>
      </c>
    </row>
    <row r="66" spans="4:12" x14ac:dyDescent="0.25">
      <c r="D66" s="18" t="s">
        <v>216</v>
      </c>
      <c r="E66" s="3" t="s">
        <v>213</v>
      </c>
      <c r="F66" s="3">
        <v>0.7</v>
      </c>
      <c r="G66" s="3">
        <v>125</v>
      </c>
      <c r="J66" t="s">
        <v>419</v>
      </c>
      <c r="K66" t="s">
        <v>420</v>
      </c>
      <c r="L66" t="s">
        <v>421</v>
      </c>
    </row>
    <row r="67" spans="4:12" x14ac:dyDescent="0.25">
      <c r="D67" s="18" t="s">
        <v>218</v>
      </c>
      <c r="E67" s="3" t="s">
        <v>213</v>
      </c>
      <c r="F67" s="3">
        <v>0.7</v>
      </c>
      <c r="G67" s="3">
        <v>104</v>
      </c>
      <c r="I67" t="s">
        <v>406</v>
      </c>
      <c r="J67" s="13">
        <v>0</v>
      </c>
      <c r="K67" s="13">
        <v>0</v>
      </c>
      <c r="L67" s="13">
        <v>600</v>
      </c>
    </row>
    <row r="68" spans="4:12" x14ac:dyDescent="0.25">
      <c r="D68" s="18" t="s">
        <v>188</v>
      </c>
      <c r="E68" s="3">
        <v>6</v>
      </c>
      <c r="F68" s="3">
        <v>7.0000000000000007E-2</v>
      </c>
      <c r="G68" s="3">
        <v>110</v>
      </c>
      <c r="I68" t="s">
        <v>407</v>
      </c>
      <c r="J68" s="13">
        <v>0</v>
      </c>
      <c r="K68" s="13">
        <v>0</v>
      </c>
      <c r="L68" s="13">
        <v>300</v>
      </c>
    </row>
    <row r="69" spans="4:12" x14ac:dyDescent="0.25">
      <c r="D69" s="18" t="s">
        <v>193</v>
      </c>
      <c r="E69" s="3" t="s">
        <v>194</v>
      </c>
      <c r="F69" s="3">
        <v>7.0000000000000007E-2</v>
      </c>
      <c r="G69" s="3">
        <v>88</v>
      </c>
      <c r="I69" t="s">
        <v>408</v>
      </c>
      <c r="J69" s="13">
        <v>0</v>
      </c>
      <c r="K69" s="13">
        <v>0</v>
      </c>
      <c r="L69" s="13">
        <v>500</v>
      </c>
    </row>
    <row r="70" spans="4:12" x14ac:dyDescent="0.25">
      <c r="D70" s="18" t="s">
        <v>195</v>
      </c>
      <c r="E70" s="3" t="s">
        <v>194</v>
      </c>
      <c r="F70" s="3">
        <v>7.0000000000000007E-2</v>
      </c>
      <c r="G70" s="3">
        <v>115</v>
      </c>
      <c r="I70" t="s">
        <v>422</v>
      </c>
      <c r="J70" s="13">
        <v>335</v>
      </c>
      <c r="K70" s="13">
        <v>0</v>
      </c>
      <c r="L70" s="13">
        <v>0</v>
      </c>
    </row>
    <row r="71" spans="4:12" x14ac:dyDescent="0.25">
      <c r="D71" s="18" t="s">
        <v>189</v>
      </c>
      <c r="E71" s="3">
        <v>88</v>
      </c>
      <c r="F71" s="3">
        <v>1.02</v>
      </c>
      <c r="G71" s="3">
        <v>441</v>
      </c>
      <c r="I71" t="s">
        <v>423</v>
      </c>
      <c r="J71" s="14">
        <v>270</v>
      </c>
      <c r="K71" s="14">
        <v>0</v>
      </c>
      <c r="L71" s="14">
        <v>0</v>
      </c>
    </row>
    <row r="72" spans="4:12" x14ac:dyDescent="0.25">
      <c r="D72" s="18" t="s">
        <v>295</v>
      </c>
      <c r="E72" s="3">
        <v>86</v>
      </c>
      <c r="F72" s="3" t="s">
        <v>296</v>
      </c>
      <c r="G72" s="3">
        <v>327</v>
      </c>
      <c r="I72" t="s">
        <v>409</v>
      </c>
      <c r="J72" s="13">
        <v>200</v>
      </c>
      <c r="K72" s="13">
        <v>0</v>
      </c>
      <c r="L72" s="13">
        <v>0</v>
      </c>
    </row>
    <row r="73" spans="4:12" x14ac:dyDescent="0.25">
      <c r="D73" s="18" t="s">
        <v>177</v>
      </c>
      <c r="E73" s="3" t="s">
        <v>133</v>
      </c>
      <c r="F73" s="3">
        <v>1.1499999999999999</v>
      </c>
      <c r="G73" s="3">
        <v>310</v>
      </c>
      <c r="I73" t="s">
        <v>410</v>
      </c>
      <c r="J73" s="13">
        <v>155</v>
      </c>
      <c r="K73" s="13">
        <v>0</v>
      </c>
      <c r="L73" s="13">
        <v>0</v>
      </c>
    </row>
    <row r="74" spans="4:12" x14ac:dyDescent="0.25">
      <c r="D74" s="18" t="s">
        <v>178</v>
      </c>
      <c r="E74" s="3" t="s">
        <v>133</v>
      </c>
      <c r="F74" s="3">
        <v>1.1499999999999999</v>
      </c>
      <c r="G74" s="3">
        <v>310</v>
      </c>
      <c r="I74" t="s">
        <v>411</v>
      </c>
      <c r="J74" s="13">
        <v>210</v>
      </c>
      <c r="K74" s="13">
        <v>0</v>
      </c>
      <c r="L74" s="13">
        <v>0</v>
      </c>
    </row>
    <row r="75" spans="4:12" x14ac:dyDescent="0.25">
      <c r="D75" s="18" t="s">
        <v>190</v>
      </c>
      <c r="E75" s="3">
        <v>85</v>
      </c>
      <c r="F75" s="3">
        <v>0.65</v>
      </c>
      <c r="G75" s="3">
        <v>148</v>
      </c>
      <c r="I75" t="s">
        <v>412</v>
      </c>
      <c r="J75" s="13">
        <v>260</v>
      </c>
      <c r="K75" s="13">
        <v>0</v>
      </c>
      <c r="L75" s="13">
        <v>0</v>
      </c>
    </row>
    <row r="76" spans="4:12" x14ac:dyDescent="0.25">
      <c r="D76" s="18" t="s">
        <v>236</v>
      </c>
      <c r="E76" s="3" t="s">
        <v>237</v>
      </c>
      <c r="F76" s="3">
        <v>0.7</v>
      </c>
      <c r="G76" s="3">
        <v>163</v>
      </c>
      <c r="I76" t="s">
        <v>413</v>
      </c>
      <c r="J76" s="13">
        <v>460</v>
      </c>
      <c r="K76" s="13">
        <v>0</v>
      </c>
      <c r="L76" s="13">
        <v>0</v>
      </c>
    </row>
    <row r="77" spans="4:12" x14ac:dyDescent="0.25">
      <c r="D77" s="18" t="s">
        <v>201</v>
      </c>
      <c r="E77" s="3">
        <v>85</v>
      </c>
      <c r="F77" s="3">
        <v>0.78</v>
      </c>
      <c r="G77" s="3">
        <v>230</v>
      </c>
      <c r="I77" t="s">
        <v>414</v>
      </c>
      <c r="J77" s="13">
        <v>130</v>
      </c>
      <c r="K77" s="13">
        <v>0</v>
      </c>
      <c r="L77" s="13">
        <v>440</v>
      </c>
    </row>
    <row r="78" spans="4:12" x14ac:dyDescent="0.25">
      <c r="D78" s="18" t="s">
        <v>271</v>
      </c>
      <c r="E78" s="3">
        <v>85</v>
      </c>
      <c r="F78" s="3">
        <v>0.78</v>
      </c>
      <c r="G78" s="3">
        <v>230</v>
      </c>
      <c r="I78" t="s">
        <v>428</v>
      </c>
      <c r="J78" s="13">
        <v>170</v>
      </c>
      <c r="K78" s="13">
        <v>170</v>
      </c>
      <c r="L78" s="13">
        <v>0</v>
      </c>
    </row>
    <row r="79" spans="4:12" x14ac:dyDescent="0.25">
      <c r="D79" s="18" t="s">
        <v>198</v>
      </c>
      <c r="E79" s="3">
        <v>88</v>
      </c>
      <c r="F79" s="3">
        <v>0.85</v>
      </c>
      <c r="G79" s="3">
        <v>74</v>
      </c>
      <c r="I79" t="s">
        <v>415</v>
      </c>
      <c r="J79" s="13">
        <v>140</v>
      </c>
      <c r="K79" s="13">
        <v>80</v>
      </c>
      <c r="L79" s="13">
        <v>200</v>
      </c>
    </row>
    <row r="80" spans="4:12" x14ac:dyDescent="0.25">
      <c r="D80" s="18" t="s">
        <v>266</v>
      </c>
      <c r="E80" s="3" t="s">
        <v>237</v>
      </c>
      <c r="F80" s="3">
        <v>0.88</v>
      </c>
      <c r="G80" s="3">
        <v>75</v>
      </c>
      <c r="I80" t="s">
        <v>416</v>
      </c>
      <c r="J80" s="13">
        <v>0</v>
      </c>
      <c r="K80" s="13">
        <v>180</v>
      </c>
      <c r="L80" s="13">
        <v>0</v>
      </c>
    </row>
    <row r="81" spans="4:12" x14ac:dyDescent="0.25">
      <c r="D81" s="18" t="s">
        <v>219</v>
      </c>
      <c r="E81" s="3">
        <v>30</v>
      </c>
      <c r="F81" s="3">
        <v>0.9</v>
      </c>
      <c r="G81" s="3">
        <v>75</v>
      </c>
      <c r="I81" t="s">
        <v>417</v>
      </c>
      <c r="J81" s="13">
        <v>0</v>
      </c>
      <c r="K81" s="13">
        <v>180</v>
      </c>
      <c r="L81" s="13">
        <v>0</v>
      </c>
    </row>
    <row r="82" spans="4:12" x14ac:dyDescent="0.25">
      <c r="D82" s="18" t="s">
        <v>196</v>
      </c>
      <c r="E82" s="3" t="s">
        <v>197</v>
      </c>
      <c r="F82" s="3">
        <v>0.95</v>
      </c>
      <c r="G82" s="3">
        <v>83</v>
      </c>
      <c r="I82" t="s">
        <v>418</v>
      </c>
      <c r="J82" s="13">
        <v>0</v>
      </c>
      <c r="K82" s="13">
        <v>450</v>
      </c>
      <c r="L82" s="13">
        <v>0</v>
      </c>
    </row>
    <row r="83" spans="4:12" x14ac:dyDescent="0.25">
      <c r="D83" s="18" t="s">
        <v>265</v>
      </c>
      <c r="E83" s="3" t="s">
        <v>197</v>
      </c>
      <c r="F83" s="3">
        <v>0.7</v>
      </c>
      <c r="G83" s="3">
        <v>83</v>
      </c>
      <c r="I83" t="s">
        <v>424</v>
      </c>
      <c r="J83" s="13">
        <v>0</v>
      </c>
      <c r="K83" s="13">
        <v>200</v>
      </c>
      <c r="L83" s="13">
        <v>300</v>
      </c>
    </row>
    <row r="84" spans="4:12" x14ac:dyDescent="0.25">
      <c r="D84" s="18" t="s">
        <v>166</v>
      </c>
      <c r="E84" s="3" t="s">
        <v>133</v>
      </c>
      <c r="F84" s="3">
        <v>1.06</v>
      </c>
      <c r="G84" s="3">
        <v>83</v>
      </c>
    </row>
    <row r="85" spans="4:12" x14ac:dyDescent="0.25">
      <c r="D85" s="18" t="s">
        <v>241</v>
      </c>
      <c r="E85" s="3" t="s">
        <v>242</v>
      </c>
      <c r="F85" s="3">
        <v>0.7</v>
      </c>
      <c r="G85" s="3">
        <v>79</v>
      </c>
      <c r="J85" t="s">
        <v>419</v>
      </c>
      <c r="K85" t="s">
        <v>420</v>
      </c>
      <c r="L85" t="s">
        <v>421</v>
      </c>
    </row>
    <row r="86" spans="4:12" x14ac:dyDescent="0.25">
      <c r="D86" s="18" t="s">
        <v>240</v>
      </c>
      <c r="E86" s="3">
        <v>92</v>
      </c>
      <c r="F86" s="3">
        <v>0.31</v>
      </c>
      <c r="G86" s="3">
        <v>142</v>
      </c>
      <c r="I86" t="s">
        <v>483</v>
      </c>
      <c r="J86">
        <v>2</v>
      </c>
      <c r="K86">
        <v>1.5</v>
      </c>
      <c r="L86">
        <v>0.25</v>
      </c>
    </row>
    <row r="87" spans="4:12" x14ac:dyDescent="0.25">
      <c r="D87" s="18" t="s">
        <v>180</v>
      </c>
      <c r="E87" s="3" t="s">
        <v>133</v>
      </c>
      <c r="F87" s="3">
        <v>1</v>
      </c>
      <c r="G87" s="3">
        <v>160</v>
      </c>
      <c r="I87" t="s">
        <v>468</v>
      </c>
      <c r="J87">
        <v>18</v>
      </c>
      <c r="K87">
        <v>10</v>
      </c>
      <c r="L87">
        <v>18</v>
      </c>
    </row>
    <row r="88" spans="4:12" x14ac:dyDescent="0.25">
      <c r="D88" s="18" t="s">
        <v>238</v>
      </c>
      <c r="E88" s="3" t="s">
        <v>237</v>
      </c>
      <c r="F88" s="3">
        <v>0.7</v>
      </c>
      <c r="G88" s="3">
        <v>140</v>
      </c>
      <c r="I88" t="s">
        <v>430</v>
      </c>
      <c r="J88">
        <v>8</v>
      </c>
      <c r="K88">
        <v>3</v>
      </c>
      <c r="L88">
        <v>5</v>
      </c>
    </row>
    <row r="89" spans="4:12" x14ac:dyDescent="0.25">
      <c r="D89" s="18" t="s">
        <v>191</v>
      </c>
      <c r="E89" s="3">
        <v>76</v>
      </c>
      <c r="F89" s="3">
        <v>0.75</v>
      </c>
      <c r="G89" s="3">
        <v>120</v>
      </c>
      <c r="I89" t="s">
        <v>469</v>
      </c>
      <c r="J89">
        <v>20</v>
      </c>
      <c r="K89">
        <v>25</v>
      </c>
      <c r="L89">
        <v>15</v>
      </c>
    </row>
    <row r="90" spans="4:12" x14ac:dyDescent="0.25">
      <c r="D90" s="18" t="s">
        <v>255</v>
      </c>
      <c r="E90" s="3" t="s">
        <v>256</v>
      </c>
      <c r="F90" s="3">
        <v>0.99</v>
      </c>
      <c r="G90" s="3">
        <v>145</v>
      </c>
      <c r="I90" t="s">
        <v>470</v>
      </c>
      <c r="J90">
        <v>15</v>
      </c>
      <c r="K90">
        <v>22</v>
      </c>
      <c r="L90">
        <v>19</v>
      </c>
    </row>
    <row r="91" spans="4:12" x14ac:dyDescent="0.25">
      <c r="D91" s="18" t="s">
        <v>275</v>
      </c>
      <c r="E91" s="3">
        <v>73</v>
      </c>
      <c r="F91" s="3">
        <v>0.86</v>
      </c>
      <c r="G91" s="3">
        <v>55</v>
      </c>
      <c r="I91" t="s">
        <v>471</v>
      </c>
      <c r="J91">
        <v>10</v>
      </c>
      <c r="K91">
        <v>6.5</v>
      </c>
      <c r="L91">
        <v>9</v>
      </c>
    </row>
    <row r="92" spans="4:12" x14ac:dyDescent="0.25">
      <c r="D92" s="18" t="s">
        <v>156</v>
      </c>
      <c r="E92" s="3" t="s">
        <v>133</v>
      </c>
      <c r="F92" s="3">
        <v>0.95</v>
      </c>
      <c r="G92" s="3">
        <v>94</v>
      </c>
      <c r="I92" t="s">
        <v>431</v>
      </c>
      <c r="J92">
        <v>6.5</v>
      </c>
      <c r="K92">
        <v>4</v>
      </c>
      <c r="L92">
        <v>9</v>
      </c>
    </row>
    <row r="93" spans="4:12" x14ac:dyDescent="0.25">
      <c r="D93" s="18" t="s">
        <v>167</v>
      </c>
      <c r="E93" s="3" t="s">
        <v>133</v>
      </c>
      <c r="F93" s="3">
        <v>0.95</v>
      </c>
      <c r="G93" s="3">
        <v>94</v>
      </c>
      <c r="I93" t="s">
        <v>432</v>
      </c>
      <c r="J93">
        <v>10</v>
      </c>
      <c r="K93">
        <v>14</v>
      </c>
      <c r="L93">
        <v>20</v>
      </c>
    </row>
    <row r="94" spans="4:12" x14ac:dyDescent="0.25">
      <c r="D94" s="18" t="s">
        <v>220</v>
      </c>
      <c r="E94" s="3">
        <v>20</v>
      </c>
      <c r="F94" s="3">
        <v>0.8</v>
      </c>
      <c r="G94" s="3">
        <v>90</v>
      </c>
      <c r="I94" t="s">
        <v>433</v>
      </c>
      <c r="J94">
        <v>13</v>
      </c>
      <c r="K94">
        <v>22</v>
      </c>
      <c r="L94">
        <v>20</v>
      </c>
    </row>
    <row r="95" spans="4:12" x14ac:dyDescent="0.25">
      <c r="D95" s="18" t="s">
        <v>221</v>
      </c>
      <c r="E95" s="3">
        <v>10</v>
      </c>
      <c r="F95" s="3">
        <v>1.1000000000000001</v>
      </c>
      <c r="G95" s="3">
        <v>110</v>
      </c>
      <c r="I95" t="s">
        <v>434</v>
      </c>
      <c r="J95">
        <v>20</v>
      </c>
      <c r="K95">
        <v>24</v>
      </c>
      <c r="L95">
        <v>19</v>
      </c>
    </row>
    <row r="96" spans="4:12" x14ac:dyDescent="0.25">
      <c r="D96" s="18" t="s">
        <v>170</v>
      </c>
      <c r="E96" s="3" t="s">
        <v>133</v>
      </c>
      <c r="F96" s="3">
        <v>1.2</v>
      </c>
      <c r="G96" s="3">
        <v>215</v>
      </c>
      <c r="I96" t="s">
        <v>472</v>
      </c>
      <c r="J96">
        <v>0.40000000596046448</v>
      </c>
      <c r="K96">
        <v>0.20000000298023224</v>
      </c>
      <c r="L96">
        <v>0.5</v>
      </c>
    </row>
    <row r="97" spans="4:12" x14ac:dyDescent="0.25">
      <c r="D97" s="18" t="s">
        <v>168</v>
      </c>
      <c r="E97" s="3" t="s">
        <v>133</v>
      </c>
      <c r="F97" s="3">
        <v>0.95</v>
      </c>
      <c r="G97" s="3">
        <v>81</v>
      </c>
      <c r="I97" t="s">
        <v>435</v>
      </c>
      <c r="J97">
        <v>15</v>
      </c>
      <c r="K97">
        <v>14</v>
      </c>
      <c r="L97">
        <v>12</v>
      </c>
    </row>
    <row r="98" spans="4:12" x14ac:dyDescent="0.25">
      <c r="D98" s="18" t="s">
        <v>157</v>
      </c>
      <c r="E98" s="3" t="s">
        <v>133</v>
      </c>
      <c r="F98" s="3">
        <v>0.95</v>
      </c>
      <c r="G98" s="3">
        <v>100</v>
      </c>
      <c r="I98" t="s">
        <v>473</v>
      </c>
      <c r="J98">
        <v>30</v>
      </c>
      <c r="K98">
        <v>36</v>
      </c>
      <c r="L98">
        <v>24</v>
      </c>
    </row>
    <row r="99" spans="4:12" x14ac:dyDescent="0.25">
      <c r="D99" s="18" t="s">
        <v>243</v>
      </c>
      <c r="E99" s="3" t="s">
        <v>133</v>
      </c>
      <c r="F99" s="3">
        <v>0.45</v>
      </c>
      <c r="G99" s="3">
        <v>35</v>
      </c>
      <c r="I99" t="s">
        <v>474</v>
      </c>
      <c r="J99">
        <v>40</v>
      </c>
      <c r="K99">
        <v>38</v>
      </c>
      <c r="L99">
        <v>25</v>
      </c>
    </row>
    <row r="100" spans="4:12" x14ac:dyDescent="0.25">
      <c r="D100" s="18" t="s">
        <v>245</v>
      </c>
      <c r="E100" s="3" t="s">
        <v>233</v>
      </c>
      <c r="F100" s="3">
        <v>0.53</v>
      </c>
      <c r="G100" s="3">
        <v>66</v>
      </c>
      <c r="I100" t="s">
        <v>475</v>
      </c>
      <c r="J100">
        <v>4.1999998092651367</v>
      </c>
      <c r="K100">
        <v>2</v>
      </c>
      <c r="L100">
        <v>4</v>
      </c>
    </row>
    <row r="101" spans="4:12" x14ac:dyDescent="0.25">
      <c r="D101" s="18" t="s">
        <v>267</v>
      </c>
      <c r="E101" s="3" t="s">
        <v>133</v>
      </c>
      <c r="F101" s="3">
        <v>0.5</v>
      </c>
      <c r="G101" s="3">
        <v>84</v>
      </c>
      <c r="I101" t="s">
        <v>436</v>
      </c>
      <c r="J101">
        <v>5</v>
      </c>
      <c r="K101">
        <v>3</v>
      </c>
      <c r="L101">
        <v>4</v>
      </c>
    </row>
    <row r="102" spans="4:12" x14ac:dyDescent="0.25">
      <c r="D102" s="18" t="s">
        <v>268</v>
      </c>
      <c r="E102" s="3" t="s">
        <v>233</v>
      </c>
      <c r="F102" s="3">
        <v>0.5</v>
      </c>
      <c r="G102" s="3">
        <v>100</v>
      </c>
      <c r="I102" t="s">
        <v>437</v>
      </c>
      <c r="J102">
        <v>4.5</v>
      </c>
      <c r="K102">
        <v>5</v>
      </c>
      <c r="L102">
        <v>3</v>
      </c>
    </row>
    <row r="103" spans="4:12" x14ac:dyDescent="0.25">
      <c r="D103" s="18" t="s">
        <v>244</v>
      </c>
      <c r="E103" s="3" t="s">
        <v>133</v>
      </c>
      <c r="F103" s="3">
        <v>0.55000000000000004</v>
      </c>
      <c r="G103" s="3">
        <v>100</v>
      </c>
      <c r="I103" t="s">
        <v>438</v>
      </c>
      <c r="J103">
        <v>6</v>
      </c>
      <c r="K103">
        <v>3</v>
      </c>
      <c r="L103">
        <v>10</v>
      </c>
    </row>
    <row r="104" spans="4:12" x14ac:dyDescent="0.25">
      <c r="D104" s="18" t="s">
        <v>179</v>
      </c>
      <c r="E104" s="3" t="s">
        <v>133</v>
      </c>
      <c r="F104" s="3">
        <v>1.04</v>
      </c>
      <c r="G104" s="3">
        <v>203</v>
      </c>
      <c r="I104" t="s">
        <v>476</v>
      </c>
      <c r="J104">
        <v>13</v>
      </c>
      <c r="K104">
        <v>24</v>
      </c>
      <c r="L104">
        <v>18</v>
      </c>
    </row>
    <row r="105" spans="4:12" x14ac:dyDescent="0.25">
      <c r="D105" s="18" t="s">
        <v>297</v>
      </c>
      <c r="E105" s="3">
        <v>86</v>
      </c>
      <c r="F105" s="3" t="s">
        <v>298</v>
      </c>
      <c r="G105" s="3">
        <v>227</v>
      </c>
      <c r="I105" t="s">
        <v>477</v>
      </c>
      <c r="J105">
        <v>11</v>
      </c>
      <c r="K105">
        <v>18</v>
      </c>
      <c r="L105">
        <v>13</v>
      </c>
    </row>
    <row r="106" spans="4:12" x14ac:dyDescent="0.25">
      <c r="D106" s="18" t="s">
        <v>246</v>
      </c>
      <c r="E106" s="3" t="s">
        <v>247</v>
      </c>
      <c r="F106" s="3">
        <v>0.9</v>
      </c>
      <c r="G106" s="3">
        <v>23</v>
      </c>
      <c r="I106" t="s">
        <v>439</v>
      </c>
      <c r="J106">
        <v>8</v>
      </c>
      <c r="K106">
        <v>12.5</v>
      </c>
      <c r="L106">
        <v>7.1</v>
      </c>
    </row>
    <row r="107" spans="4:12" x14ac:dyDescent="0.25">
      <c r="D107" s="18" t="s">
        <v>248</v>
      </c>
      <c r="E107" s="3" t="s">
        <v>231</v>
      </c>
      <c r="F107" s="3">
        <v>1.08</v>
      </c>
      <c r="G107" s="3">
        <v>99</v>
      </c>
      <c r="I107" t="s">
        <v>440</v>
      </c>
      <c r="J107">
        <v>24</v>
      </c>
      <c r="K107">
        <v>23</v>
      </c>
      <c r="L107">
        <v>18</v>
      </c>
    </row>
    <row r="108" spans="4:12" x14ac:dyDescent="0.25">
      <c r="D108" s="18" t="s">
        <v>174</v>
      </c>
      <c r="E108" s="3" t="s">
        <v>133</v>
      </c>
      <c r="F108" s="3">
        <v>1</v>
      </c>
      <c r="G108" s="3">
        <v>220</v>
      </c>
      <c r="I108" t="s">
        <v>441</v>
      </c>
      <c r="J108">
        <v>32</v>
      </c>
      <c r="K108">
        <v>25</v>
      </c>
      <c r="L108">
        <v>20</v>
      </c>
    </row>
    <row r="109" spans="4:12" x14ac:dyDescent="0.25">
      <c r="D109" s="18" t="s">
        <v>192</v>
      </c>
      <c r="E109" s="3">
        <v>87</v>
      </c>
      <c r="F109" s="3">
        <v>0.89</v>
      </c>
      <c r="G109" s="3">
        <v>88</v>
      </c>
      <c r="I109" t="s">
        <v>478</v>
      </c>
      <c r="J109">
        <v>8</v>
      </c>
      <c r="K109">
        <v>7.5</v>
      </c>
      <c r="L109">
        <v>12.5</v>
      </c>
    </row>
    <row r="110" spans="4:12" x14ac:dyDescent="0.25">
      <c r="D110" s="18" t="s">
        <v>249</v>
      </c>
      <c r="E110" s="3" t="s">
        <v>250</v>
      </c>
      <c r="F110" s="3">
        <v>0.9</v>
      </c>
      <c r="G110" s="3">
        <v>100</v>
      </c>
      <c r="I110" t="s">
        <v>479</v>
      </c>
      <c r="J110">
        <v>7</v>
      </c>
      <c r="K110">
        <v>10</v>
      </c>
      <c r="L110">
        <v>9</v>
      </c>
    </row>
    <row r="111" spans="4:12" x14ac:dyDescent="0.25">
      <c r="D111" s="18" t="s">
        <v>225</v>
      </c>
      <c r="E111" s="3">
        <v>24</v>
      </c>
      <c r="F111" s="3">
        <v>0.98</v>
      </c>
      <c r="G111" s="3">
        <v>87</v>
      </c>
      <c r="I111" t="s">
        <v>442</v>
      </c>
      <c r="J111">
        <v>4</v>
      </c>
      <c r="K111">
        <v>2</v>
      </c>
      <c r="L111">
        <v>4</v>
      </c>
    </row>
    <row r="112" spans="4:12" x14ac:dyDescent="0.25">
      <c r="D112" s="18" t="s">
        <v>199</v>
      </c>
      <c r="E112" s="3">
        <v>18</v>
      </c>
      <c r="F112" s="3">
        <v>0.65</v>
      </c>
      <c r="G112" s="3">
        <v>50</v>
      </c>
      <c r="I112" t="s">
        <v>443</v>
      </c>
      <c r="J112">
        <v>18</v>
      </c>
      <c r="K112">
        <v>30</v>
      </c>
      <c r="L112">
        <v>21</v>
      </c>
    </row>
    <row r="113" spans="4:12" x14ac:dyDescent="0.25">
      <c r="D113" s="18" t="s">
        <v>269</v>
      </c>
      <c r="E113" s="3">
        <v>18</v>
      </c>
      <c r="F113" s="3">
        <v>0.75</v>
      </c>
      <c r="G113" s="3">
        <v>50</v>
      </c>
      <c r="I113" t="s">
        <v>444</v>
      </c>
      <c r="J113">
        <v>22</v>
      </c>
      <c r="K113">
        <v>40</v>
      </c>
      <c r="L113">
        <v>25</v>
      </c>
    </row>
    <row r="114" spans="4:12" x14ac:dyDescent="0.25">
      <c r="D114" s="18" t="s">
        <v>224</v>
      </c>
      <c r="E114" s="3" t="s">
        <v>162</v>
      </c>
      <c r="F114" s="3">
        <v>1.1000000000000001</v>
      </c>
      <c r="G114" s="3">
        <v>70</v>
      </c>
      <c r="I114" t="s">
        <v>445</v>
      </c>
      <c r="J114">
        <v>22</v>
      </c>
      <c r="K114">
        <v>23</v>
      </c>
      <c r="L114">
        <v>18</v>
      </c>
    </row>
    <row r="115" spans="4:12" x14ac:dyDescent="0.25">
      <c r="D115" s="18" t="s">
        <v>234</v>
      </c>
      <c r="E115" s="3" t="s">
        <v>235</v>
      </c>
      <c r="F115" s="3">
        <v>0.95</v>
      </c>
      <c r="G115" s="3">
        <v>60</v>
      </c>
      <c r="I115" t="s">
        <v>446</v>
      </c>
      <c r="J115">
        <v>30</v>
      </c>
      <c r="K115">
        <v>27</v>
      </c>
      <c r="L115">
        <v>20</v>
      </c>
    </row>
    <row r="116" spans="4:12" x14ac:dyDescent="0.25">
      <c r="D116" s="18" t="s">
        <v>204</v>
      </c>
      <c r="E116" s="3">
        <v>85</v>
      </c>
      <c r="F116" s="3">
        <v>0.9</v>
      </c>
      <c r="G116" s="3">
        <v>200</v>
      </c>
      <c r="I116" t="s">
        <v>447</v>
      </c>
      <c r="J116">
        <v>15</v>
      </c>
      <c r="K116">
        <v>17</v>
      </c>
      <c r="L116">
        <v>14</v>
      </c>
    </row>
    <row r="117" spans="4:12" x14ac:dyDescent="0.25">
      <c r="D117" s="18" t="s">
        <v>274</v>
      </c>
      <c r="E117" s="3">
        <v>85</v>
      </c>
      <c r="F117" s="3">
        <v>0.9</v>
      </c>
      <c r="G117" s="3">
        <v>200</v>
      </c>
      <c r="I117" t="s">
        <v>448</v>
      </c>
      <c r="J117">
        <v>20</v>
      </c>
      <c r="K117">
        <v>18</v>
      </c>
      <c r="L117">
        <v>15</v>
      </c>
    </row>
    <row r="118" spans="4:12" x14ac:dyDescent="0.25">
      <c r="D118" s="18" t="s">
        <v>182</v>
      </c>
      <c r="E118" s="3">
        <v>87</v>
      </c>
      <c r="F118" s="3">
        <v>0.95</v>
      </c>
      <c r="G118" s="3">
        <v>200</v>
      </c>
      <c r="I118" t="s">
        <v>449</v>
      </c>
      <c r="J118">
        <v>18</v>
      </c>
      <c r="K118">
        <v>20</v>
      </c>
      <c r="L118">
        <v>15</v>
      </c>
    </row>
    <row r="119" spans="4:12" x14ac:dyDescent="0.25">
      <c r="D119" s="18" t="s">
        <v>223</v>
      </c>
      <c r="E119" s="3" t="s">
        <v>162</v>
      </c>
      <c r="F119" s="3">
        <v>0.88</v>
      </c>
      <c r="G119" s="3">
        <v>200</v>
      </c>
      <c r="I119" t="s">
        <v>450</v>
      </c>
      <c r="J119">
        <v>25</v>
      </c>
      <c r="K119">
        <v>25</v>
      </c>
      <c r="L119">
        <v>18</v>
      </c>
    </row>
    <row r="120" spans="4:12" x14ac:dyDescent="0.25">
      <c r="D120" s="18" t="s">
        <v>222</v>
      </c>
      <c r="E120" s="3">
        <v>10</v>
      </c>
      <c r="F120" s="3">
        <v>1</v>
      </c>
      <c r="G120" s="3">
        <v>100</v>
      </c>
      <c r="I120" t="s">
        <v>480</v>
      </c>
      <c r="J120">
        <v>5.5</v>
      </c>
      <c r="K120">
        <v>2.5</v>
      </c>
      <c r="L120">
        <v>8</v>
      </c>
    </row>
    <row r="121" spans="4:12" x14ac:dyDescent="0.25">
      <c r="D121" s="18" t="s">
        <v>158</v>
      </c>
      <c r="E121" s="3" t="s">
        <v>133</v>
      </c>
      <c r="F121" s="3">
        <v>0.81</v>
      </c>
      <c r="G121" s="3">
        <v>114</v>
      </c>
      <c r="I121" t="s">
        <v>451</v>
      </c>
      <c r="J121">
        <v>4</v>
      </c>
      <c r="K121">
        <v>1.5</v>
      </c>
      <c r="L121">
        <v>3</v>
      </c>
    </row>
    <row r="122" spans="4:12" x14ac:dyDescent="0.25">
      <c r="D122" s="18" t="s">
        <v>159</v>
      </c>
      <c r="E122" s="3" t="s">
        <v>133</v>
      </c>
      <c r="F122" s="3">
        <v>1.03</v>
      </c>
      <c r="G122" s="3">
        <v>91</v>
      </c>
      <c r="I122" t="s">
        <v>452</v>
      </c>
      <c r="J122">
        <v>6</v>
      </c>
      <c r="K122">
        <v>4</v>
      </c>
      <c r="L122">
        <v>10</v>
      </c>
    </row>
    <row r="123" spans="4:12" x14ac:dyDescent="0.25">
      <c r="D123" s="18" t="s">
        <v>172</v>
      </c>
      <c r="E123" s="3" t="s">
        <v>133</v>
      </c>
      <c r="F123" s="3">
        <v>1.2</v>
      </c>
      <c r="G123" s="3">
        <v>353</v>
      </c>
      <c r="I123" t="s">
        <v>453</v>
      </c>
      <c r="J123">
        <v>5</v>
      </c>
      <c r="K123">
        <v>3</v>
      </c>
      <c r="L123">
        <v>4</v>
      </c>
    </row>
    <row r="124" spans="4:12" x14ac:dyDescent="0.25">
      <c r="D124" s="18" t="s">
        <v>187</v>
      </c>
      <c r="E124" s="3" t="s">
        <v>133</v>
      </c>
      <c r="F124" s="3">
        <v>0.82</v>
      </c>
      <c r="G124" s="3">
        <v>150</v>
      </c>
      <c r="I124" t="s">
        <v>454</v>
      </c>
      <c r="J124">
        <v>4.5</v>
      </c>
      <c r="K124">
        <v>5</v>
      </c>
      <c r="L124">
        <v>3</v>
      </c>
    </row>
    <row r="125" spans="4:12" x14ac:dyDescent="0.25">
      <c r="D125" s="18" t="s">
        <v>209</v>
      </c>
      <c r="E125" s="3">
        <v>25</v>
      </c>
      <c r="F125" s="3">
        <v>0.7</v>
      </c>
      <c r="G125" s="3">
        <v>85</v>
      </c>
      <c r="I125" t="s">
        <v>455</v>
      </c>
      <c r="J125">
        <v>4</v>
      </c>
      <c r="K125">
        <v>5.5</v>
      </c>
      <c r="L125">
        <v>4.5999999999999996</v>
      </c>
    </row>
    <row r="126" spans="4:12" x14ac:dyDescent="0.25">
      <c r="D126" s="18" t="s">
        <v>169</v>
      </c>
      <c r="E126" s="3" t="s">
        <v>133</v>
      </c>
      <c r="F126" s="3">
        <v>1.05</v>
      </c>
      <c r="G126" s="3">
        <v>98</v>
      </c>
      <c r="I126" t="s">
        <v>456</v>
      </c>
      <c r="J126">
        <v>7.9</v>
      </c>
      <c r="K126">
        <v>4.9000000000000004</v>
      </c>
      <c r="L126">
        <v>5.8</v>
      </c>
    </row>
    <row r="127" spans="4:12" x14ac:dyDescent="0.25">
      <c r="D127" s="18" t="s">
        <v>253</v>
      </c>
      <c r="E127" s="3" t="s">
        <v>228</v>
      </c>
      <c r="F127" s="3">
        <v>0.7</v>
      </c>
      <c r="G127" s="3">
        <v>137</v>
      </c>
      <c r="I127" t="s">
        <v>457</v>
      </c>
      <c r="J127">
        <v>2.2999999523162842</v>
      </c>
      <c r="K127">
        <v>1.7000000476837158</v>
      </c>
      <c r="L127">
        <v>1.7000000476837158</v>
      </c>
    </row>
    <row r="128" spans="4:12" x14ac:dyDescent="0.25">
      <c r="D128" s="18" t="s">
        <v>173</v>
      </c>
      <c r="E128" s="3" t="s">
        <v>133</v>
      </c>
      <c r="F128" s="3">
        <v>1.44</v>
      </c>
      <c r="G128" s="3">
        <v>152</v>
      </c>
      <c r="I128" t="s">
        <v>458</v>
      </c>
      <c r="J128">
        <v>3.5</v>
      </c>
      <c r="K128">
        <v>2.2000000476837158</v>
      </c>
      <c r="L128">
        <v>2.9000000953674316</v>
      </c>
    </row>
    <row r="129" spans="4:13" x14ac:dyDescent="0.25">
      <c r="D129" s="18" t="s">
        <v>137</v>
      </c>
      <c r="E129" s="3" t="s">
        <v>133</v>
      </c>
      <c r="F129" s="3">
        <v>0.85</v>
      </c>
      <c r="G129" s="3">
        <v>340</v>
      </c>
      <c r="I129" t="s">
        <v>459</v>
      </c>
      <c r="J129">
        <v>4.4000000953674316</v>
      </c>
      <c r="K129">
        <v>2.7999999523162842</v>
      </c>
      <c r="L129">
        <v>3.2999999523162842</v>
      </c>
    </row>
    <row r="130" spans="4:13" x14ac:dyDescent="0.25">
      <c r="D130" s="18" t="s">
        <v>282</v>
      </c>
      <c r="E130" s="3"/>
      <c r="F130" s="3">
        <v>0.96</v>
      </c>
      <c r="G130" s="3">
        <v>280</v>
      </c>
      <c r="I130" t="s">
        <v>460</v>
      </c>
      <c r="J130">
        <v>6.0999999046325684</v>
      </c>
      <c r="K130">
        <v>3.7999999523162842</v>
      </c>
      <c r="L130">
        <v>4.5</v>
      </c>
    </row>
    <row r="131" spans="4:13" x14ac:dyDescent="0.25">
      <c r="D131" s="18" t="s">
        <v>139</v>
      </c>
      <c r="E131" s="3" t="s">
        <v>133</v>
      </c>
      <c r="F131" s="3">
        <v>0.9</v>
      </c>
      <c r="G131" s="3">
        <v>310</v>
      </c>
      <c r="I131" t="s">
        <v>461</v>
      </c>
      <c r="J131">
        <v>7</v>
      </c>
      <c r="K131">
        <v>9</v>
      </c>
      <c r="L131">
        <v>6</v>
      </c>
    </row>
    <row r="132" spans="4:13" x14ac:dyDescent="0.25">
      <c r="D132" s="18" t="s">
        <v>283</v>
      </c>
      <c r="E132" s="3"/>
      <c r="F132" s="3">
        <v>1.17</v>
      </c>
      <c r="G132" s="3">
        <v>420</v>
      </c>
      <c r="I132" t="s">
        <v>462</v>
      </c>
      <c r="J132">
        <v>1.5</v>
      </c>
      <c r="K132">
        <v>0.60000002384185791</v>
      </c>
      <c r="L132">
        <v>1.6000000238418579</v>
      </c>
    </row>
    <row r="133" spans="4:13" x14ac:dyDescent="0.25">
      <c r="D133" s="18" t="s">
        <v>140</v>
      </c>
      <c r="E133" s="3" t="s">
        <v>133</v>
      </c>
      <c r="F133" s="3">
        <v>1.06</v>
      </c>
      <c r="G133" s="3">
        <v>460</v>
      </c>
      <c r="I133" t="s">
        <v>463</v>
      </c>
      <c r="J133">
        <v>4.5</v>
      </c>
      <c r="K133">
        <v>2</v>
      </c>
      <c r="L133">
        <v>5</v>
      </c>
    </row>
    <row r="134" spans="4:13" x14ac:dyDescent="0.25">
      <c r="D134" s="18" t="s">
        <v>138</v>
      </c>
      <c r="E134" s="3" t="s">
        <v>133</v>
      </c>
      <c r="F134" s="3">
        <v>0.56000000000000005</v>
      </c>
      <c r="G134" s="3">
        <v>280</v>
      </c>
      <c r="I134" t="s">
        <v>464</v>
      </c>
      <c r="J134">
        <v>2.7999999523162842</v>
      </c>
      <c r="K134">
        <v>1.3</v>
      </c>
      <c r="L134">
        <v>2.7000000476837158</v>
      </c>
    </row>
    <row r="135" spans="4:13" x14ac:dyDescent="0.25">
      <c r="D135" s="18" t="s">
        <v>134</v>
      </c>
      <c r="E135" s="3" t="s">
        <v>133</v>
      </c>
      <c r="F135" s="3">
        <v>1.05</v>
      </c>
      <c r="G135" s="3">
        <v>430</v>
      </c>
      <c r="I135" t="s">
        <v>465</v>
      </c>
      <c r="J135">
        <v>2.5</v>
      </c>
      <c r="K135">
        <v>1.5</v>
      </c>
      <c r="L135">
        <v>3</v>
      </c>
    </row>
    <row r="136" spans="4:13" x14ac:dyDescent="0.25">
      <c r="D136" s="18" t="s">
        <v>135</v>
      </c>
      <c r="E136" s="3" t="s">
        <v>133</v>
      </c>
      <c r="F136" s="3">
        <v>1.06</v>
      </c>
      <c r="G136" s="3">
        <v>440</v>
      </c>
      <c r="I136" t="s">
        <v>466</v>
      </c>
      <c r="J136">
        <v>7.6999998092651367</v>
      </c>
      <c r="K136">
        <v>4.5999999999999996</v>
      </c>
      <c r="L136">
        <v>12.3</v>
      </c>
    </row>
    <row r="137" spans="4:13" x14ac:dyDescent="0.25">
      <c r="D137" s="18" t="s">
        <v>136</v>
      </c>
      <c r="E137" s="3" t="s">
        <v>133</v>
      </c>
      <c r="F137" s="3">
        <v>1.06</v>
      </c>
      <c r="G137" s="3">
        <v>460</v>
      </c>
      <c r="I137" t="s">
        <v>467</v>
      </c>
      <c r="J137">
        <v>2</v>
      </c>
      <c r="K137">
        <v>0.9</v>
      </c>
      <c r="L137">
        <v>5.7</v>
      </c>
    </row>
    <row r="138" spans="4:13" x14ac:dyDescent="0.25">
      <c r="D138" s="18" t="s">
        <v>160</v>
      </c>
      <c r="E138" s="3" t="s">
        <v>133</v>
      </c>
      <c r="F138" s="3">
        <v>1.01</v>
      </c>
      <c r="G138" s="3">
        <v>97</v>
      </c>
    </row>
    <row r="139" spans="4:13" x14ac:dyDescent="0.25">
      <c r="D139" s="18" t="s">
        <v>280</v>
      </c>
      <c r="E139" s="3">
        <v>86</v>
      </c>
      <c r="F139" s="3">
        <v>0.96</v>
      </c>
      <c r="G139" s="3">
        <v>86</v>
      </c>
      <c r="J139" t="s">
        <v>546</v>
      </c>
      <c r="K139" t="s">
        <v>419</v>
      </c>
      <c r="L139" t="s">
        <v>420</v>
      </c>
      <c r="M139" t="s">
        <v>421</v>
      </c>
    </row>
    <row r="140" spans="4:13" x14ac:dyDescent="0.25">
      <c r="D140" s="18" t="s">
        <v>281</v>
      </c>
      <c r="E140" s="3">
        <v>86</v>
      </c>
      <c r="F140" s="3">
        <v>0.99</v>
      </c>
      <c r="G140" s="3">
        <v>108</v>
      </c>
      <c r="I140" t="s">
        <v>534</v>
      </c>
      <c r="J140">
        <v>85</v>
      </c>
      <c r="K140">
        <v>16</v>
      </c>
      <c r="L140">
        <v>3.5</v>
      </c>
      <c r="M140">
        <v>5.1999998092651367</v>
      </c>
    </row>
    <row r="141" spans="4:13" x14ac:dyDescent="0.25">
      <c r="D141" s="18" t="s">
        <v>290</v>
      </c>
      <c r="E141" s="3">
        <v>86</v>
      </c>
      <c r="F141" s="3" t="s">
        <v>291</v>
      </c>
      <c r="G141" s="3">
        <v>103</v>
      </c>
      <c r="I141" t="s">
        <v>535</v>
      </c>
      <c r="J141">
        <v>85</v>
      </c>
      <c r="K141">
        <v>20</v>
      </c>
      <c r="L141">
        <v>3.7999999523162842</v>
      </c>
      <c r="M141">
        <v>4.3000001907348633</v>
      </c>
    </row>
    <row r="142" spans="4:13" x14ac:dyDescent="0.25">
      <c r="D142" s="18" t="s">
        <v>293</v>
      </c>
      <c r="E142" s="3">
        <v>86</v>
      </c>
      <c r="F142" s="3" t="s">
        <v>278</v>
      </c>
      <c r="G142" s="3">
        <v>163</v>
      </c>
      <c r="I142" t="s">
        <v>536</v>
      </c>
      <c r="J142">
        <v>85</v>
      </c>
      <c r="K142">
        <v>25.100000381469727</v>
      </c>
      <c r="L142">
        <v>3.9000000953674316</v>
      </c>
      <c r="M142">
        <v>4.3</v>
      </c>
    </row>
    <row r="143" spans="4:13" x14ac:dyDescent="0.25">
      <c r="D143" s="18" t="s">
        <v>292</v>
      </c>
      <c r="E143" s="3">
        <v>86</v>
      </c>
      <c r="F143" s="3" t="s">
        <v>278</v>
      </c>
      <c r="G143" s="3">
        <v>135</v>
      </c>
      <c r="I143" t="s">
        <v>537</v>
      </c>
      <c r="J143">
        <v>85</v>
      </c>
      <c r="K143">
        <v>13.5</v>
      </c>
      <c r="L143">
        <v>6.3</v>
      </c>
      <c r="M143">
        <v>2.7</v>
      </c>
    </row>
    <row r="144" spans="4:13" x14ac:dyDescent="0.25">
      <c r="D144" s="18" t="s">
        <v>141</v>
      </c>
      <c r="E144" s="3" t="s">
        <v>133</v>
      </c>
      <c r="F144" s="3">
        <v>0</v>
      </c>
      <c r="G144" s="3">
        <v>2875</v>
      </c>
      <c r="I144" t="s">
        <v>538</v>
      </c>
      <c r="J144">
        <v>85</v>
      </c>
      <c r="K144">
        <v>35</v>
      </c>
      <c r="L144">
        <v>6.55</v>
      </c>
      <c r="M144">
        <v>0.83</v>
      </c>
    </row>
    <row r="145" spans="4:13" x14ac:dyDescent="0.25">
      <c r="D145" s="18" t="s">
        <v>257</v>
      </c>
      <c r="E145" s="3" t="s">
        <v>258</v>
      </c>
      <c r="F145" s="3">
        <v>0.9</v>
      </c>
      <c r="G145" s="3">
        <v>350</v>
      </c>
      <c r="I145" t="s">
        <v>361</v>
      </c>
      <c r="J145">
        <v>20</v>
      </c>
      <c r="K145">
        <v>22</v>
      </c>
      <c r="L145">
        <v>3</v>
      </c>
      <c r="M145">
        <v>20.700000762939453</v>
      </c>
    </row>
    <row r="146" spans="4:13" x14ac:dyDescent="0.25">
      <c r="D146" s="18" t="s">
        <v>142</v>
      </c>
      <c r="E146" s="3" t="s">
        <v>133</v>
      </c>
      <c r="F146" s="3">
        <v>0.95</v>
      </c>
      <c r="G146" s="3">
        <v>180</v>
      </c>
      <c r="I146" t="s">
        <v>363</v>
      </c>
      <c r="J146">
        <v>86.5</v>
      </c>
      <c r="K146">
        <v>41</v>
      </c>
      <c r="L146">
        <v>4.8</v>
      </c>
      <c r="M146">
        <v>12.4</v>
      </c>
    </row>
    <row r="147" spans="4:13" x14ac:dyDescent="0.25">
      <c r="D147" s="18" t="s">
        <v>143</v>
      </c>
      <c r="E147" s="3" t="s">
        <v>133</v>
      </c>
      <c r="F147" s="3">
        <v>0.95</v>
      </c>
      <c r="G147" s="3">
        <v>220</v>
      </c>
      <c r="I147" t="s">
        <v>364</v>
      </c>
      <c r="J147">
        <v>85</v>
      </c>
      <c r="K147">
        <v>20</v>
      </c>
      <c r="L147">
        <v>2.5999999046325684</v>
      </c>
      <c r="M147">
        <v>19</v>
      </c>
    </row>
    <row r="148" spans="4:13" x14ac:dyDescent="0.25">
      <c r="D148" s="18" t="s">
        <v>205</v>
      </c>
      <c r="E148" s="3" t="s">
        <v>133</v>
      </c>
      <c r="F148" s="3">
        <v>0.9</v>
      </c>
      <c r="G148" s="3">
        <v>320</v>
      </c>
      <c r="I148" t="s">
        <v>365</v>
      </c>
      <c r="J148">
        <v>85</v>
      </c>
      <c r="K148">
        <v>15</v>
      </c>
      <c r="L148">
        <v>2.5999999046325684</v>
      </c>
      <c r="M148">
        <v>18.299999237060547</v>
      </c>
    </row>
    <row r="149" spans="4:13" x14ac:dyDescent="0.25">
      <c r="D149" s="18" t="s">
        <v>144</v>
      </c>
      <c r="E149" s="3" t="s">
        <v>133</v>
      </c>
      <c r="F149" s="3">
        <v>0.95</v>
      </c>
      <c r="G149" s="3">
        <v>400</v>
      </c>
      <c r="I149" t="s">
        <v>366</v>
      </c>
      <c r="J149">
        <v>85</v>
      </c>
      <c r="K149">
        <v>13</v>
      </c>
      <c r="L149">
        <v>2.2999999523162842</v>
      </c>
      <c r="M149">
        <v>16</v>
      </c>
    </row>
    <row r="150" spans="4:13" x14ac:dyDescent="0.25">
      <c r="I150" t="s">
        <v>369</v>
      </c>
      <c r="J150">
        <v>88</v>
      </c>
      <c r="K150">
        <v>36</v>
      </c>
      <c r="L150">
        <v>4.8</v>
      </c>
      <c r="M150">
        <v>14.9</v>
      </c>
    </row>
    <row r="151" spans="4:13" x14ac:dyDescent="0.25">
      <c r="I151" t="s">
        <v>539</v>
      </c>
      <c r="J151">
        <v>86.699996948242188</v>
      </c>
      <c r="K151">
        <v>53</v>
      </c>
      <c r="L151">
        <v>3.93</v>
      </c>
      <c r="M151">
        <v>11.6</v>
      </c>
    </row>
    <row r="152" spans="4:13" x14ac:dyDescent="0.25">
      <c r="I152" t="s">
        <v>372</v>
      </c>
      <c r="J152">
        <v>30</v>
      </c>
      <c r="K152">
        <v>13</v>
      </c>
      <c r="L152">
        <v>2.4000000953674316</v>
      </c>
      <c r="M152">
        <v>10.399999618530273</v>
      </c>
    </row>
    <row r="153" spans="4:13" x14ac:dyDescent="0.25">
      <c r="I153" t="s">
        <v>373</v>
      </c>
      <c r="J153">
        <v>85</v>
      </c>
      <c r="K153">
        <v>15</v>
      </c>
      <c r="L153">
        <v>3.5</v>
      </c>
      <c r="M153">
        <v>3.5999999046325684</v>
      </c>
    </row>
    <row r="154" spans="4:13" x14ac:dyDescent="0.25">
      <c r="I154" t="s">
        <v>376</v>
      </c>
      <c r="J154">
        <v>85</v>
      </c>
      <c r="K154">
        <v>22</v>
      </c>
      <c r="L154">
        <v>4</v>
      </c>
      <c r="M154">
        <v>0</v>
      </c>
    </row>
    <row r="155" spans="4:13" x14ac:dyDescent="0.25">
      <c r="I155" t="s">
        <v>540</v>
      </c>
      <c r="J155">
        <v>85</v>
      </c>
      <c r="K155">
        <v>19.299999237060547</v>
      </c>
      <c r="L155">
        <v>4</v>
      </c>
      <c r="M155">
        <v>5.8000001907348633</v>
      </c>
    </row>
    <row r="156" spans="4:13" x14ac:dyDescent="0.25">
      <c r="I156" t="s">
        <v>379</v>
      </c>
      <c r="J156">
        <v>85</v>
      </c>
      <c r="K156">
        <v>5.5999999046325684</v>
      </c>
      <c r="L156">
        <v>1</v>
      </c>
      <c r="M156">
        <v>9.5</v>
      </c>
    </row>
    <row r="157" spans="4:13" x14ac:dyDescent="0.25">
      <c r="I157" t="s">
        <v>541</v>
      </c>
      <c r="J157">
        <v>85</v>
      </c>
      <c r="K157">
        <v>50</v>
      </c>
      <c r="L157">
        <v>3.9</v>
      </c>
      <c r="M157">
        <v>13.2</v>
      </c>
    </row>
    <row r="158" spans="4:13" x14ac:dyDescent="0.25">
      <c r="I158" t="s">
        <v>542</v>
      </c>
      <c r="J158">
        <v>100</v>
      </c>
      <c r="K158">
        <v>18.2</v>
      </c>
      <c r="L158">
        <v>7.7</v>
      </c>
      <c r="M158">
        <v>18.2</v>
      </c>
    </row>
    <row r="159" spans="4:13" x14ac:dyDescent="0.25">
      <c r="I159" t="s">
        <v>543</v>
      </c>
      <c r="J159">
        <v>85</v>
      </c>
      <c r="K159">
        <v>14</v>
      </c>
      <c r="L159">
        <v>4.4000000000000004</v>
      </c>
      <c r="M159">
        <v>5</v>
      </c>
    </row>
    <row r="160" spans="4:13" x14ac:dyDescent="0.25">
      <c r="I160" t="s">
        <v>544</v>
      </c>
      <c r="J160">
        <v>88</v>
      </c>
      <c r="K160">
        <v>18.799999237060547</v>
      </c>
      <c r="L160">
        <v>7.7</v>
      </c>
      <c r="M160">
        <v>18.2</v>
      </c>
    </row>
    <row r="161" spans="9:13" x14ac:dyDescent="0.25">
      <c r="I161" t="s">
        <v>545</v>
      </c>
      <c r="J161">
        <v>84</v>
      </c>
      <c r="K161">
        <v>20.799999237060547</v>
      </c>
      <c r="L161">
        <v>4.5999999046325684</v>
      </c>
      <c r="M161">
        <v>5</v>
      </c>
    </row>
  </sheetData>
  <sheetProtection sheet="1" objects="1" scenarios="1"/>
  <sortState xmlns:xlrd2="http://schemas.microsoft.com/office/spreadsheetml/2017/richdata2" ref="D5:G149">
    <sortCondition ref="D5:D149"/>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8</vt:i4>
      </vt:variant>
    </vt:vector>
  </HeadingPairs>
  <TitlesOfParts>
    <vt:vector size="16" baseType="lpstr">
      <vt:lpstr>FEUILLE SAISIE</vt:lpstr>
      <vt:lpstr>SAISIE et CALCUL COUT ALIM</vt:lpstr>
      <vt:lpstr>Indicateurs Bilan Fourrager</vt:lpstr>
      <vt:lpstr>Référentiel Fourrager</vt:lpstr>
      <vt:lpstr>Indicateurs Bilan MAT</vt:lpstr>
      <vt:lpstr>Indicateurs Bilan des minéraux</vt:lpstr>
      <vt:lpstr>Indicateurs concentrés et UFL</vt:lpstr>
      <vt:lpstr>listes</vt:lpstr>
      <vt:lpstr>aliments</vt:lpstr>
      <vt:lpstr>culture_vente</vt:lpstr>
      <vt:lpstr>engrais_mineraux</vt:lpstr>
      <vt:lpstr>engrais_organique</vt:lpstr>
      <vt:lpstr>prec_boeuf_lait</vt:lpstr>
      <vt:lpstr>prec_velage_gl</vt:lpstr>
      <vt:lpstr>prod_lait_vl</vt:lpstr>
      <vt:lpstr>referenciel_aliments</vt:lpstr>
    </vt:vector>
  </TitlesOfParts>
  <Company>MSO65 - AURA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VIOLLEAU STEPHANE</dc:creator>
  <cp:lastModifiedBy>Accueil</cp:lastModifiedBy>
  <dcterms:created xsi:type="dcterms:W3CDTF">2023-03-31T08:29:29Z</dcterms:created>
  <dcterms:modified xsi:type="dcterms:W3CDTF">2025-11-03T14:21:39Z</dcterms:modified>
</cp:coreProperties>
</file>